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二俣\"/>
    </mc:Choice>
  </mc:AlternateContent>
  <workbookProtection workbookPassword="E027" lockStructure="1"/>
  <bookViews>
    <workbookView xWindow="0" yWindow="0" windowWidth="14490" windowHeight="7410" tabRatio="661"/>
  </bookViews>
  <sheets>
    <sheet name="学校情報" sheetId="11" r:id="rId1"/>
    <sheet name="選手情報" sheetId="3" r:id="rId2"/>
    <sheet name="リレーチーム情報" sheetId="12" r:id="rId3"/>
    <sheet name="様式Ⅰ　総括申込書" sheetId="4" r:id="rId4"/>
    <sheet name="様式Ⅱ　個票" sheetId="8" r:id="rId5"/>
    <sheet name="様式Ⅲ　リレー申込書" sheetId="13" r:id="rId6"/>
    <sheet name="様式Ⅳ　種目別申込表" sheetId="10" r:id="rId7"/>
    <sheet name="選手データ" sheetId="6" state="hidden" r:id="rId8"/>
    <sheet name="設定" sheetId="2" state="hidden" r:id="rId9"/>
  </sheets>
  <definedNames>
    <definedName name="_xlnm.Print_Area" localSheetId="3">'様式Ⅰ　総括申込書'!$A$1:$L$177</definedName>
    <definedName name="_xlnm.Print_Area" localSheetId="4">'様式Ⅱ　個票'!$A$1:$AC$64</definedName>
    <definedName name="_xlnm.Print_Area" localSheetId="5">'様式Ⅲ　リレー申込書'!$A$1:$AE$57</definedName>
    <definedName name="_xlnm.Print_Area" localSheetId="6">'様式Ⅳ　種目別申込表'!$A$1:$R$58</definedName>
    <definedName name="混成">#REF!</definedName>
    <definedName name="女子種目">選手情報!$BL$5:$BL$29</definedName>
    <definedName name="女子種目設定">設定!$K$2:$P$25</definedName>
    <definedName name="男子種目">選手情報!$BK$5:$BK$27</definedName>
    <definedName name="男子種目設定">設定!$D$2:$I$23</definedName>
  </definedNames>
  <calcPr calcId="152511"/>
</workbook>
</file>

<file path=xl/calcChain.xml><?xml version="1.0" encoding="utf-8"?>
<calcChain xmlns="http://schemas.openxmlformats.org/spreadsheetml/2006/main">
  <c r="H1723" i="6" l="1"/>
  <c r="H1724" i="6"/>
  <c r="H1725" i="6"/>
  <c r="H1726" i="6"/>
  <c r="K1723" i="6"/>
  <c r="L1723" i="6"/>
  <c r="M1723" i="6"/>
  <c r="K1724" i="6"/>
  <c r="L1724" i="6"/>
  <c r="M1724" i="6"/>
  <c r="K1725" i="6"/>
  <c r="L1725" i="6"/>
  <c r="M1725" i="6"/>
  <c r="K1726" i="6"/>
  <c r="L1726" i="6"/>
  <c r="M1726" i="6"/>
  <c r="H6" i="3" l="1"/>
  <c r="H1704" i="6"/>
  <c r="H1705" i="6"/>
  <c r="H1706" i="6"/>
  <c r="H1707" i="6"/>
  <c r="H1708" i="6"/>
  <c r="H1709" i="6"/>
  <c r="H1710" i="6"/>
  <c r="H1711" i="6"/>
  <c r="H1712" i="6"/>
  <c r="H1713" i="6"/>
  <c r="H1714" i="6"/>
  <c r="H1715" i="6"/>
  <c r="H1716" i="6"/>
  <c r="H1717" i="6"/>
  <c r="H1718" i="6"/>
  <c r="H1719" i="6"/>
  <c r="H1720" i="6"/>
  <c r="H1721" i="6"/>
  <c r="H1722" i="6"/>
  <c r="K1704" i="6"/>
  <c r="L1704" i="6"/>
  <c r="M1704" i="6"/>
  <c r="K1705" i="6"/>
  <c r="L1705" i="6"/>
  <c r="M1705" i="6"/>
  <c r="K1706" i="6"/>
  <c r="L1706" i="6"/>
  <c r="M1706" i="6"/>
  <c r="K1707" i="6"/>
  <c r="L1707" i="6"/>
  <c r="M1707" i="6"/>
  <c r="K1708" i="6"/>
  <c r="L1708" i="6"/>
  <c r="M1708" i="6"/>
  <c r="K1709" i="6"/>
  <c r="L1709" i="6"/>
  <c r="M1709" i="6"/>
  <c r="K1710" i="6"/>
  <c r="L1710" i="6"/>
  <c r="M1710" i="6"/>
  <c r="K1711" i="6"/>
  <c r="L1711" i="6"/>
  <c r="M1711" i="6"/>
  <c r="K1712" i="6"/>
  <c r="L1712" i="6"/>
  <c r="M1712" i="6"/>
  <c r="K1713" i="6"/>
  <c r="L1713" i="6"/>
  <c r="M1713" i="6"/>
  <c r="K1714" i="6"/>
  <c r="L1714" i="6"/>
  <c r="M1714" i="6"/>
  <c r="K1715" i="6"/>
  <c r="L1715" i="6"/>
  <c r="M1715" i="6"/>
  <c r="K1716" i="6"/>
  <c r="L1716" i="6"/>
  <c r="M1716" i="6"/>
  <c r="K1717" i="6"/>
  <c r="L1717" i="6"/>
  <c r="M1717" i="6"/>
  <c r="K1718" i="6"/>
  <c r="L1718" i="6"/>
  <c r="M1718" i="6"/>
  <c r="K1719" i="6"/>
  <c r="L1719" i="6"/>
  <c r="M1719" i="6"/>
  <c r="K1720" i="6"/>
  <c r="L1720" i="6"/>
  <c r="M1720" i="6"/>
  <c r="K1721" i="6"/>
  <c r="L1721" i="6"/>
  <c r="M1721" i="6"/>
  <c r="K1722" i="6"/>
  <c r="L1722" i="6"/>
  <c r="M1722" i="6"/>
  <c r="K1250" i="6" l="1"/>
  <c r="L1250" i="6"/>
  <c r="M1250" i="6"/>
  <c r="K1251" i="6"/>
  <c r="L1251" i="6"/>
  <c r="M1251" i="6"/>
  <c r="K1252" i="6"/>
  <c r="H1252" i="6" s="1"/>
  <c r="L1252" i="6"/>
  <c r="M1252" i="6"/>
  <c r="K1253" i="6"/>
  <c r="L1253" i="6"/>
  <c r="M1253" i="6"/>
  <c r="K1254" i="6"/>
  <c r="L1254" i="6"/>
  <c r="M1254" i="6"/>
  <c r="K1255" i="6"/>
  <c r="L1255" i="6"/>
  <c r="M1255" i="6"/>
  <c r="K1256" i="6"/>
  <c r="L1256" i="6"/>
  <c r="M1256" i="6"/>
  <c r="K1257" i="6"/>
  <c r="L1257" i="6"/>
  <c r="M1257" i="6"/>
  <c r="K1258" i="6"/>
  <c r="L1258" i="6"/>
  <c r="M1258" i="6"/>
  <c r="K1259" i="6"/>
  <c r="L1259" i="6"/>
  <c r="M1259" i="6"/>
  <c r="K1260" i="6"/>
  <c r="H1260" i="6" s="1"/>
  <c r="L1260" i="6"/>
  <c r="M1260" i="6"/>
  <c r="K1261" i="6"/>
  <c r="L1261" i="6"/>
  <c r="M1261" i="6"/>
  <c r="K1262" i="6"/>
  <c r="L1262" i="6"/>
  <c r="M1262" i="6"/>
  <c r="K1263" i="6"/>
  <c r="L1263" i="6"/>
  <c r="M1263" i="6"/>
  <c r="K1264" i="6"/>
  <c r="L1264" i="6"/>
  <c r="M1264" i="6"/>
  <c r="K1265" i="6"/>
  <c r="L1265" i="6"/>
  <c r="M1265" i="6"/>
  <c r="K1266" i="6"/>
  <c r="L1266" i="6"/>
  <c r="M1266" i="6"/>
  <c r="K1267" i="6"/>
  <c r="L1267" i="6"/>
  <c r="M1267" i="6"/>
  <c r="K1268" i="6"/>
  <c r="H1268" i="6" s="1"/>
  <c r="L1268" i="6"/>
  <c r="M1268" i="6"/>
  <c r="K1269" i="6"/>
  <c r="L1269" i="6"/>
  <c r="M1269" i="6"/>
  <c r="K1270" i="6"/>
  <c r="L1270" i="6"/>
  <c r="M1270" i="6"/>
  <c r="K1271" i="6"/>
  <c r="L1271" i="6"/>
  <c r="M1271" i="6"/>
  <c r="K1272" i="6"/>
  <c r="L1272" i="6"/>
  <c r="M1272" i="6"/>
  <c r="K1273" i="6"/>
  <c r="L1273" i="6"/>
  <c r="M1273" i="6"/>
  <c r="K1274" i="6"/>
  <c r="L1274" i="6"/>
  <c r="M1274" i="6"/>
  <c r="K1275" i="6"/>
  <c r="L1275" i="6"/>
  <c r="M1275" i="6"/>
  <c r="K1276" i="6"/>
  <c r="H1276" i="6" s="1"/>
  <c r="L1276" i="6"/>
  <c r="M1276" i="6"/>
  <c r="K1277" i="6"/>
  <c r="L1277" i="6"/>
  <c r="M1277" i="6"/>
  <c r="K1278" i="6"/>
  <c r="L1278" i="6"/>
  <c r="M1278" i="6"/>
  <c r="K1279" i="6"/>
  <c r="L1279" i="6"/>
  <c r="M1279" i="6"/>
  <c r="K1280" i="6"/>
  <c r="L1280" i="6"/>
  <c r="M1280" i="6"/>
  <c r="K1281" i="6"/>
  <c r="L1281" i="6"/>
  <c r="M1281" i="6"/>
  <c r="K1282" i="6"/>
  <c r="L1282" i="6"/>
  <c r="M1282" i="6"/>
  <c r="K1283" i="6"/>
  <c r="L1283" i="6"/>
  <c r="M1283" i="6"/>
  <c r="K1284" i="6"/>
  <c r="H1284" i="6" s="1"/>
  <c r="L1284" i="6"/>
  <c r="M1284" i="6"/>
  <c r="K1285" i="6"/>
  <c r="L1285" i="6"/>
  <c r="M1285" i="6"/>
  <c r="K1286" i="6"/>
  <c r="L1286" i="6"/>
  <c r="M1286" i="6"/>
  <c r="K1287" i="6"/>
  <c r="L1287" i="6"/>
  <c r="M1287" i="6"/>
  <c r="K1288" i="6"/>
  <c r="L1288" i="6"/>
  <c r="M1288" i="6"/>
  <c r="K1289" i="6"/>
  <c r="L1289" i="6"/>
  <c r="M1289" i="6"/>
  <c r="K1290" i="6"/>
  <c r="L1290" i="6"/>
  <c r="M1290" i="6"/>
  <c r="K1291" i="6"/>
  <c r="L1291" i="6"/>
  <c r="M1291" i="6"/>
  <c r="K1292" i="6"/>
  <c r="H1292" i="6" s="1"/>
  <c r="L1292" i="6"/>
  <c r="M1292" i="6"/>
  <c r="K1293" i="6"/>
  <c r="L1293" i="6"/>
  <c r="M1293" i="6"/>
  <c r="K1294" i="6"/>
  <c r="L1294" i="6"/>
  <c r="M1294" i="6"/>
  <c r="K1295" i="6"/>
  <c r="L1295" i="6"/>
  <c r="M1295" i="6"/>
  <c r="K1296" i="6"/>
  <c r="L1296" i="6"/>
  <c r="M1296" i="6"/>
  <c r="K1297" i="6"/>
  <c r="L1297" i="6"/>
  <c r="M1297" i="6"/>
  <c r="K1298" i="6"/>
  <c r="L1298" i="6"/>
  <c r="M1298" i="6"/>
  <c r="K1299" i="6"/>
  <c r="L1299" i="6"/>
  <c r="M1299" i="6"/>
  <c r="K1300" i="6"/>
  <c r="H1300" i="6" s="1"/>
  <c r="L1300" i="6"/>
  <c r="M1300" i="6"/>
  <c r="K1301" i="6"/>
  <c r="L1301" i="6"/>
  <c r="M1301" i="6"/>
  <c r="K1302" i="6"/>
  <c r="L1302" i="6"/>
  <c r="M1302" i="6"/>
  <c r="K1303" i="6"/>
  <c r="L1303" i="6"/>
  <c r="M1303" i="6"/>
  <c r="K1304" i="6"/>
  <c r="L1304" i="6"/>
  <c r="M1304" i="6"/>
  <c r="K1305" i="6"/>
  <c r="L1305" i="6"/>
  <c r="M1305" i="6"/>
  <c r="K1306" i="6"/>
  <c r="L1306" i="6"/>
  <c r="M1306" i="6"/>
  <c r="K1307" i="6"/>
  <c r="L1307" i="6"/>
  <c r="M1307" i="6"/>
  <c r="K1308" i="6"/>
  <c r="H1308" i="6" s="1"/>
  <c r="L1308" i="6"/>
  <c r="M1308" i="6"/>
  <c r="K1309" i="6"/>
  <c r="L1309" i="6"/>
  <c r="M1309" i="6"/>
  <c r="K1310" i="6"/>
  <c r="L1310" i="6"/>
  <c r="M1310" i="6"/>
  <c r="K1311" i="6"/>
  <c r="L1311" i="6"/>
  <c r="M1311" i="6"/>
  <c r="K1312" i="6"/>
  <c r="L1312" i="6"/>
  <c r="M1312" i="6"/>
  <c r="K1313" i="6"/>
  <c r="L1313" i="6"/>
  <c r="M1313" i="6"/>
  <c r="K1314" i="6"/>
  <c r="L1314" i="6"/>
  <c r="M1314" i="6"/>
  <c r="K1315" i="6"/>
  <c r="L1315" i="6"/>
  <c r="M1315" i="6"/>
  <c r="K1316" i="6"/>
  <c r="H1316" i="6" s="1"/>
  <c r="L1316" i="6"/>
  <c r="M1316" i="6"/>
  <c r="K1317" i="6"/>
  <c r="L1317" i="6"/>
  <c r="M1317" i="6"/>
  <c r="K1318" i="6"/>
  <c r="L1318" i="6"/>
  <c r="M1318" i="6"/>
  <c r="K1319" i="6"/>
  <c r="L1319" i="6"/>
  <c r="M1319" i="6"/>
  <c r="K1320" i="6"/>
  <c r="L1320" i="6"/>
  <c r="M1320" i="6"/>
  <c r="K1321" i="6"/>
  <c r="L1321" i="6"/>
  <c r="M1321" i="6"/>
  <c r="K1322" i="6"/>
  <c r="L1322" i="6"/>
  <c r="M1322" i="6"/>
  <c r="K1323" i="6"/>
  <c r="L1323" i="6"/>
  <c r="M1323" i="6"/>
  <c r="K1324" i="6"/>
  <c r="H1324" i="6" s="1"/>
  <c r="L1324" i="6"/>
  <c r="M1324" i="6"/>
  <c r="K1325" i="6"/>
  <c r="L1325" i="6"/>
  <c r="M1325" i="6"/>
  <c r="K1326" i="6"/>
  <c r="L1326" i="6"/>
  <c r="M1326" i="6"/>
  <c r="K1327" i="6"/>
  <c r="L1327" i="6"/>
  <c r="M1327" i="6"/>
  <c r="K1328" i="6"/>
  <c r="L1328" i="6"/>
  <c r="M1328" i="6"/>
  <c r="K1329" i="6"/>
  <c r="L1329" i="6"/>
  <c r="M1329" i="6"/>
  <c r="K1330" i="6"/>
  <c r="L1330" i="6"/>
  <c r="M1330" i="6"/>
  <c r="K1331" i="6"/>
  <c r="L1331" i="6"/>
  <c r="M1331" i="6"/>
  <c r="K1332" i="6"/>
  <c r="L1332" i="6"/>
  <c r="M1332" i="6"/>
  <c r="K1333" i="6"/>
  <c r="L1333" i="6"/>
  <c r="M1333" i="6"/>
  <c r="K1334" i="6"/>
  <c r="L1334" i="6"/>
  <c r="M1334" i="6"/>
  <c r="K1335" i="6"/>
  <c r="L1335" i="6"/>
  <c r="M1335" i="6"/>
  <c r="K1336" i="6"/>
  <c r="L1336" i="6"/>
  <c r="H1336" i="6" s="1"/>
  <c r="M1336" i="6"/>
  <c r="K1337" i="6"/>
  <c r="L1337" i="6"/>
  <c r="M1337" i="6"/>
  <c r="K1338" i="6"/>
  <c r="L1338" i="6"/>
  <c r="M1338" i="6"/>
  <c r="K1339" i="6"/>
  <c r="L1339" i="6"/>
  <c r="M1339" i="6"/>
  <c r="K1340" i="6"/>
  <c r="L1340" i="6"/>
  <c r="M1340" i="6"/>
  <c r="K1341" i="6"/>
  <c r="L1341" i="6"/>
  <c r="M1341" i="6"/>
  <c r="K1342" i="6"/>
  <c r="L1342" i="6"/>
  <c r="M1342" i="6"/>
  <c r="K1343" i="6"/>
  <c r="L1343" i="6"/>
  <c r="M1343" i="6"/>
  <c r="K1344" i="6"/>
  <c r="L1344" i="6"/>
  <c r="M1344" i="6"/>
  <c r="K1345" i="6"/>
  <c r="L1345" i="6"/>
  <c r="M1345" i="6"/>
  <c r="K1346" i="6"/>
  <c r="L1346" i="6"/>
  <c r="M1346" i="6"/>
  <c r="K1347" i="6"/>
  <c r="L1347" i="6"/>
  <c r="M1347" i="6"/>
  <c r="K1348" i="6"/>
  <c r="L1348" i="6"/>
  <c r="M1348" i="6"/>
  <c r="K1349" i="6"/>
  <c r="L1349" i="6"/>
  <c r="M1349" i="6"/>
  <c r="K1350" i="6"/>
  <c r="L1350" i="6"/>
  <c r="M1350" i="6"/>
  <c r="K1351" i="6"/>
  <c r="L1351" i="6"/>
  <c r="M1351" i="6"/>
  <c r="K1352" i="6"/>
  <c r="L1352" i="6"/>
  <c r="H1352" i="6" s="1"/>
  <c r="M1352" i="6"/>
  <c r="K1353" i="6"/>
  <c r="L1353" i="6"/>
  <c r="M1353" i="6"/>
  <c r="K1354" i="6"/>
  <c r="L1354" i="6"/>
  <c r="M1354" i="6"/>
  <c r="K1355" i="6"/>
  <c r="L1355" i="6"/>
  <c r="M1355" i="6"/>
  <c r="K1356" i="6"/>
  <c r="L1356" i="6"/>
  <c r="M1356" i="6"/>
  <c r="K1357" i="6"/>
  <c r="L1357" i="6"/>
  <c r="M1357" i="6"/>
  <c r="K1358" i="6"/>
  <c r="L1358" i="6"/>
  <c r="M1358" i="6"/>
  <c r="K1359" i="6"/>
  <c r="L1359" i="6"/>
  <c r="M1359" i="6"/>
  <c r="K1360" i="6"/>
  <c r="L1360" i="6"/>
  <c r="H1360" i="6" s="1"/>
  <c r="M1360" i="6"/>
  <c r="K1361" i="6"/>
  <c r="L1361" i="6"/>
  <c r="M1361" i="6"/>
  <c r="K1362" i="6"/>
  <c r="L1362" i="6"/>
  <c r="M1362" i="6"/>
  <c r="K1363" i="6"/>
  <c r="L1363" i="6"/>
  <c r="M1363" i="6"/>
  <c r="K1364" i="6"/>
  <c r="L1364" i="6"/>
  <c r="M1364" i="6"/>
  <c r="K1365" i="6"/>
  <c r="L1365" i="6"/>
  <c r="M1365" i="6"/>
  <c r="K1366" i="6"/>
  <c r="L1366" i="6"/>
  <c r="M1366" i="6"/>
  <c r="K1367" i="6"/>
  <c r="L1367" i="6"/>
  <c r="M1367" i="6"/>
  <c r="K1368" i="6"/>
  <c r="L1368" i="6"/>
  <c r="H1368" i="6" s="1"/>
  <c r="M1368" i="6"/>
  <c r="K1369" i="6"/>
  <c r="L1369" i="6"/>
  <c r="M1369" i="6"/>
  <c r="K1370" i="6"/>
  <c r="L1370" i="6"/>
  <c r="M1370" i="6"/>
  <c r="K1371" i="6"/>
  <c r="L1371" i="6"/>
  <c r="M1371" i="6"/>
  <c r="K1372" i="6"/>
  <c r="L1372" i="6"/>
  <c r="M1372" i="6"/>
  <c r="K1373" i="6"/>
  <c r="L1373" i="6"/>
  <c r="M1373" i="6"/>
  <c r="K1374" i="6"/>
  <c r="L1374" i="6"/>
  <c r="M1374" i="6"/>
  <c r="K1375" i="6"/>
  <c r="L1375" i="6"/>
  <c r="M1375" i="6"/>
  <c r="K1376" i="6"/>
  <c r="L1376" i="6"/>
  <c r="M1376" i="6"/>
  <c r="K1377" i="6"/>
  <c r="L1377" i="6"/>
  <c r="M1377" i="6"/>
  <c r="K1378" i="6"/>
  <c r="L1378" i="6"/>
  <c r="M1378" i="6"/>
  <c r="K1379" i="6"/>
  <c r="L1379" i="6"/>
  <c r="M1379" i="6"/>
  <c r="K1380" i="6"/>
  <c r="L1380" i="6"/>
  <c r="H1380" i="6" s="1"/>
  <c r="M1380" i="6"/>
  <c r="K1381" i="6"/>
  <c r="L1381" i="6"/>
  <c r="M1381" i="6"/>
  <c r="K1382" i="6"/>
  <c r="L1382" i="6"/>
  <c r="M1382" i="6"/>
  <c r="K1383" i="6"/>
  <c r="L1383" i="6"/>
  <c r="M1383" i="6"/>
  <c r="K1384" i="6"/>
  <c r="L1384" i="6"/>
  <c r="H1384" i="6" s="1"/>
  <c r="M1384" i="6"/>
  <c r="K1385" i="6"/>
  <c r="L1385" i="6"/>
  <c r="M1385" i="6"/>
  <c r="K1386" i="6"/>
  <c r="L1386" i="6"/>
  <c r="M1386" i="6"/>
  <c r="K1387" i="6"/>
  <c r="L1387" i="6"/>
  <c r="M1387" i="6"/>
  <c r="K1388" i="6"/>
  <c r="L1388" i="6"/>
  <c r="M1388" i="6"/>
  <c r="K1389" i="6"/>
  <c r="L1389" i="6"/>
  <c r="M1389" i="6"/>
  <c r="K1390" i="6"/>
  <c r="L1390" i="6"/>
  <c r="M1390" i="6"/>
  <c r="K1391" i="6"/>
  <c r="L1391" i="6"/>
  <c r="M1391" i="6"/>
  <c r="K1392" i="6"/>
  <c r="L1392" i="6"/>
  <c r="M1392" i="6"/>
  <c r="K1393" i="6"/>
  <c r="L1393" i="6"/>
  <c r="M1393" i="6"/>
  <c r="K1394" i="6"/>
  <c r="L1394" i="6"/>
  <c r="M1394" i="6"/>
  <c r="K1395" i="6"/>
  <c r="L1395" i="6"/>
  <c r="M1395" i="6"/>
  <c r="K1396" i="6"/>
  <c r="L1396" i="6"/>
  <c r="M1396" i="6"/>
  <c r="K1397" i="6"/>
  <c r="L1397" i="6"/>
  <c r="M1397" i="6"/>
  <c r="K1398" i="6"/>
  <c r="L1398" i="6"/>
  <c r="M1398" i="6"/>
  <c r="K1399" i="6"/>
  <c r="L1399" i="6"/>
  <c r="M1399" i="6"/>
  <c r="K1400" i="6"/>
  <c r="L1400" i="6"/>
  <c r="H1400" i="6" s="1"/>
  <c r="M1400" i="6"/>
  <c r="K1401" i="6"/>
  <c r="L1401" i="6"/>
  <c r="M1401" i="6"/>
  <c r="K1402" i="6"/>
  <c r="L1402" i="6"/>
  <c r="M1402" i="6"/>
  <c r="K1403" i="6"/>
  <c r="L1403" i="6"/>
  <c r="M1403" i="6"/>
  <c r="K1404" i="6"/>
  <c r="L1404" i="6"/>
  <c r="H1404" i="6" s="1"/>
  <c r="M1404" i="6"/>
  <c r="K1405" i="6"/>
  <c r="L1405" i="6"/>
  <c r="M1405" i="6"/>
  <c r="K1406" i="6"/>
  <c r="L1406" i="6"/>
  <c r="M1406" i="6"/>
  <c r="K1407" i="6"/>
  <c r="L1407" i="6"/>
  <c r="M1407" i="6"/>
  <c r="K1408" i="6"/>
  <c r="L1408" i="6"/>
  <c r="M1408" i="6"/>
  <c r="K1409" i="6"/>
  <c r="L1409" i="6"/>
  <c r="M1409" i="6"/>
  <c r="K1410" i="6"/>
  <c r="L1410" i="6"/>
  <c r="M1410" i="6"/>
  <c r="K1411" i="6"/>
  <c r="L1411" i="6"/>
  <c r="M1411" i="6"/>
  <c r="K1412" i="6"/>
  <c r="L1412" i="6"/>
  <c r="M1412" i="6"/>
  <c r="K1413" i="6"/>
  <c r="L1413" i="6"/>
  <c r="M1413" i="6"/>
  <c r="K1414" i="6"/>
  <c r="L1414" i="6"/>
  <c r="M1414" i="6"/>
  <c r="K1415" i="6"/>
  <c r="L1415" i="6"/>
  <c r="M1415" i="6"/>
  <c r="K1416" i="6"/>
  <c r="L1416" i="6"/>
  <c r="H1416" i="6" s="1"/>
  <c r="M1416" i="6"/>
  <c r="K1417" i="6"/>
  <c r="L1417" i="6"/>
  <c r="M1417" i="6"/>
  <c r="K1418" i="6"/>
  <c r="L1418" i="6"/>
  <c r="M1418" i="6"/>
  <c r="K1419" i="6"/>
  <c r="L1419" i="6"/>
  <c r="M1419" i="6"/>
  <c r="K1420" i="6"/>
  <c r="L1420" i="6"/>
  <c r="M1420" i="6"/>
  <c r="K1421" i="6"/>
  <c r="L1421" i="6"/>
  <c r="M1421" i="6"/>
  <c r="K1422" i="6"/>
  <c r="L1422" i="6"/>
  <c r="M1422" i="6"/>
  <c r="K1423" i="6"/>
  <c r="L1423" i="6"/>
  <c r="M1423" i="6"/>
  <c r="K1424" i="6"/>
  <c r="L1424" i="6"/>
  <c r="H1424" i="6" s="1"/>
  <c r="M1424" i="6"/>
  <c r="K1425" i="6"/>
  <c r="L1425" i="6"/>
  <c r="M1425" i="6"/>
  <c r="K1426" i="6"/>
  <c r="L1426" i="6"/>
  <c r="M1426" i="6"/>
  <c r="K1427" i="6"/>
  <c r="L1427" i="6"/>
  <c r="M1427" i="6"/>
  <c r="K1428" i="6"/>
  <c r="L1428" i="6"/>
  <c r="M1428" i="6"/>
  <c r="K1429" i="6"/>
  <c r="L1429" i="6"/>
  <c r="M1429" i="6"/>
  <c r="K1430" i="6"/>
  <c r="L1430" i="6"/>
  <c r="M1430" i="6"/>
  <c r="K1431" i="6"/>
  <c r="L1431" i="6"/>
  <c r="M1431" i="6"/>
  <c r="K1432" i="6"/>
  <c r="L1432" i="6"/>
  <c r="H1432" i="6" s="1"/>
  <c r="M1432" i="6"/>
  <c r="K1433" i="6"/>
  <c r="L1433" i="6"/>
  <c r="M1433" i="6"/>
  <c r="K1434" i="6"/>
  <c r="L1434" i="6"/>
  <c r="M1434" i="6"/>
  <c r="K1435" i="6"/>
  <c r="L1435" i="6"/>
  <c r="M1435" i="6"/>
  <c r="K1436" i="6"/>
  <c r="L1436" i="6"/>
  <c r="M1436" i="6"/>
  <c r="K1437" i="6"/>
  <c r="L1437" i="6"/>
  <c r="M1437" i="6"/>
  <c r="K1438" i="6"/>
  <c r="L1438" i="6"/>
  <c r="M1438" i="6"/>
  <c r="K1439" i="6"/>
  <c r="L1439" i="6"/>
  <c r="M1439" i="6"/>
  <c r="K1440" i="6"/>
  <c r="L1440" i="6"/>
  <c r="H1440" i="6" s="1"/>
  <c r="M1440" i="6"/>
  <c r="K1441" i="6"/>
  <c r="L1441" i="6"/>
  <c r="M1441" i="6"/>
  <c r="K1442" i="6"/>
  <c r="L1442" i="6"/>
  <c r="M1442" i="6"/>
  <c r="K1443" i="6"/>
  <c r="L1443" i="6"/>
  <c r="M1443" i="6"/>
  <c r="K1444" i="6"/>
  <c r="L1444" i="6"/>
  <c r="H1444" i="6" s="1"/>
  <c r="M1444" i="6"/>
  <c r="K1445" i="6"/>
  <c r="L1445" i="6"/>
  <c r="M1445" i="6"/>
  <c r="K1446" i="6"/>
  <c r="L1446" i="6"/>
  <c r="M1446" i="6"/>
  <c r="K1447" i="6"/>
  <c r="L1447" i="6"/>
  <c r="M1447" i="6"/>
  <c r="K1448" i="6"/>
  <c r="L1448" i="6"/>
  <c r="H1448" i="6" s="1"/>
  <c r="M1448" i="6"/>
  <c r="K1449" i="6"/>
  <c r="L1449" i="6"/>
  <c r="M1449" i="6"/>
  <c r="K1450" i="6"/>
  <c r="L1450" i="6"/>
  <c r="M1450" i="6"/>
  <c r="K1451" i="6"/>
  <c r="L1451" i="6"/>
  <c r="M1451" i="6"/>
  <c r="K1452" i="6"/>
  <c r="L1452" i="6"/>
  <c r="M1452" i="6"/>
  <c r="K1453" i="6"/>
  <c r="L1453" i="6"/>
  <c r="M1453" i="6"/>
  <c r="K1454" i="6"/>
  <c r="L1454" i="6"/>
  <c r="M1454" i="6"/>
  <c r="K1455" i="6"/>
  <c r="L1455" i="6"/>
  <c r="M1455" i="6"/>
  <c r="K1456" i="6"/>
  <c r="L1456" i="6"/>
  <c r="M1456" i="6"/>
  <c r="K1457" i="6"/>
  <c r="L1457" i="6"/>
  <c r="M1457" i="6"/>
  <c r="K1458" i="6"/>
  <c r="L1458" i="6"/>
  <c r="M1458" i="6"/>
  <c r="K1459" i="6"/>
  <c r="L1459" i="6"/>
  <c r="M1459" i="6"/>
  <c r="K1460" i="6"/>
  <c r="L1460" i="6"/>
  <c r="M1460" i="6"/>
  <c r="K1461" i="6"/>
  <c r="L1461" i="6"/>
  <c r="M1461" i="6"/>
  <c r="K1462" i="6"/>
  <c r="L1462" i="6"/>
  <c r="M1462" i="6"/>
  <c r="K1463" i="6"/>
  <c r="L1463" i="6"/>
  <c r="M1463" i="6"/>
  <c r="K1464" i="6"/>
  <c r="L1464" i="6"/>
  <c r="M1464" i="6"/>
  <c r="K1465" i="6"/>
  <c r="L1465" i="6"/>
  <c r="M1465" i="6"/>
  <c r="K1466" i="6"/>
  <c r="L1466" i="6"/>
  <c r="M1466" i="6"/>
  <c r="K1467" i="6"/>
  <c r="L1467" i="6"/>
  <c r="M1467" i="6"/>
  <c r="K1468" i="6"/>
  <c r="L1468" i="6"/>
  <c r="M1468" i="6"/>
  <c r="K1469" i="6"/>
  <c r="L1469" i="6"/>
  <c r="M1469" i="6"/>
  <c r="K1470" i="6"/>
  <c r="L1470" i="6"/>
  <c r="M1470" i="6"/>
  <c r="K1471" i="6"/>
  <c r="L1471" i="6"/>
  <c r="M1471" i="6"/>
  <c r="K1472" i="6"/>
  <c r="L1472" i="6"/>
  <c r="M1472" i="6"/>
  <c r="K1473" i="6"/>
  <c r="L1473" i="6"/>
  <c r="M1473" i="6"/>
  <c r="K1474" i="6"/>
  <c r="L1474" i="6"/>
  <c r="M1474" i="6"/>
  <c r="K1475" i="6"/>
  <c r="L1475" i="6"/>
  <c r="M1475" i="6"/>
  <c r="K1476" i="6"/>
  <c r="L1476" i="6"/>
  <c r="M1476" i="6"/>
  <c r="K1477" i="6"/>
  <c r="L1477" i="6"/>
  <c r="M1477" i="6"/>
  <c r="K1478" i="6"/>
  <c r="L1478" i="6"/>
  <c r="M1478" i="6"/>
  <c r="K1479" i="6"/>
  <c r="L1479" i="6"/>
  <c r="M1479" i="6"/>
  <c r="K1480" i="6"/>
  <c r="L1480" i="6"/>
  <c r="M1480" i="6"/>
  <c r="K1481" i="6"/>
  <c r="L1481" i="6"/>
  <c r="M1481" i="6"/>
  <c r="K1482" i="6"/>
  <c r="L1482" i="6"/>
  <c r="M1482" i="6"/>
  <c r="K1483" i="6"/>
  <c r="L1483" i="6"/>
  <c r="M1483" i="6"/>
  <c r="K1484" i="6"/>
  <c r="L1484" i="6"/>
  <c r="M1484" i="6"/>
  <c r="K1485" i="6"/>
  <c r="L1485" i="6"/>
  <c r="M1485" i="6"/>
  <c r="K1486" i="6"/>
  <c r="L1486" i="6"/>
  <c r="M1486" i="6"/>
  <c r="K1487" i="6"/>
  <c r="L1487" i="6"/>
  <c r="M1487" i="6"/>
  <c r="K1488" i="6"/>
  <c r="L1488" i="6"/>
  <c r="M1488" i="6"/>
  <c r="K1489" i="6"/>
  <c r="L1489" i="6"/>
  <c r="M1489" i="6"/>
  <c r="K1490" i="6"/>
  <c r="L1490" i="6"/>
  <c r="M1490" i="6"/>
  <c r="K1491" i="6"/>
  <c r="L1491" i="6"/>
  <c r="M1491" i="6"/>
  <c r="K1492" i="6"/>
  <c r="L1492" i="6"/>
  <c r="H1492" i="6" s="1"/>
  <c r="M1492" i="6"/>
  <c r="K1493" i="6"/>
  <c r="L1493" i="6"/>
  <c r="M1493" i="6"/>
  <c r="K1494" i="6"/>
  <c r="L1494" i="6"/>
  <c r="M1494" i="6"/>
  <c r="K1495" i="6"/>
  <c r="L1495" i="6"/>
  <c r="M1495" i="6"/>
  <c r="K1496" i="6"/>
  <c r="L1496" i="6"/>
  <c r="M1496" i="6"/>
  <c r="K1497" i="6"/>
  <c r="L1497" i="6"/>
  <c r="M1497" i="6"/>
  <c r="K1498" i="6"/>
  <c r="L1498" i="6"/>
  <c r="M1498" i="6"/>
  <c r="H1498" i="6" s="1"/>
  <c r="K1499" i="6"/>
  <c r="L1499" i="6"/>
  <c r="M1499" i="6"/>
  <c r="K1500" i="6"/>
  <c r="L1500" i="6"/>
  <c r="M1500" i="6"/>
  <c r="K1501" i="6"/>
  <c r="L1501" i="6"/>
  <c r="M1501" i="6"/>
  <c r="K1502" i="6"/>
  <c r="L1502" i="6"/>
  <c r="M1502" i="6"/>
  <c r="K1503" i="6"/>
  <c r="L1503" i="6"/>
  <c r="M1503" i="6"/>
  <c r="K1504" i="6"/>
  <c r="L1504" i="6"/>
  <c r="M1504" i="6"/>
  <c r="K1505" i="6"/>
  <c r="L1505" i="6"/>
  <c r="M1505" i="6"/>
  <c r="K1506" i="6"/>
  <c r="L1506" i="6"/>
  <c r="M1506" i="6"/>
  <c r="H1506" i="6" s="1"/>
  <c r="K1507" i="6"/>
  <c r="L1507" i="6"/>
  <c r="M1507" i="6"/>
  <c r="K1508" i="6"/>
  <c r="L1508" i="6"/>
  <c r="M1508" i="6"/>
  <c r="K1509" i="6"/>
  <c r="L1509" i="6"/>
  <c r="M1509" i="6"/>
  <c r="K1510" i="6"/>
  <c r="L1510" i="6"/>
  <c r="M1510" i="6"/>
  <c r="K1511" i="6"/>
  <c r="L1511" i="6"/>
  <c r="M1511" i="6"/>
  <c r="K1512" i="6"/>
  <c r="L1512" i="6"/>
  <c r="M1512" i="6"/>
  <c r="K1513" i="6"/>
  <c r="L1513" i="6"/>
  <c r="M1513" i="6"/>
  <c r="K1514" i="6"/>
  <c r="L1514" i="6"/>
  <c r="M1514" i="6"/>
  <c r="H1514" i="6" s="1"/>
  <c r="K1515" i="6"/>
  <c r="L1515" i="6"/>
  <c r="M1515" i="6"/>
  <c r="K1516" i="6"/>
  <c r="L1516" i="6"/>
  <c r="M1516" i="6"/>
  <c r="K1517" i="6"/>
  <c r="L1517" i="6"/>
  <c r="M1517" i="6"/>
  <c r="K1518" i="6"/>
  <c r="L1518" i="6"/>
  <c r="M1518" i="6"/>
  <c r="K1519" i="6"/>
  <c r="L1519" i="6"/>
  <c r="M1519" i="6"/>
  <c r="K1520" i="6"/>
  <c r="L1520" i="6"/>
  <c r="M1520" i="6"/>
  <c r="K1521" i="6"/>
  <c r="L1521" i="6"/>
  <c r="M1521" i="6"/>
  <c r="K1522" i="6"/>
  <c r="L1522" i="6"/>
  <c r="M1522" i="6"/>
  <c r="K1523" i="6"/>
  <c r="L1523" i="6"/>
  <c r="M1523" i="6"/>
  <c r="K1524" i="6"/>
  <c r="L1524" i="6"/>
  <c r="M1524" i="6"/>
  <c r="K1525" i="6"/>
  <c r="L1525" i="6"/>
  <c r="M1525" i="6"/>
  <c r="K1526" i="6"/>
  <c r="L1526" i="6"/>
  <c r="M1526" i="6"/>
  <c r="K1527" i="6"/>
  <c r="L1527" i="6"/>
  <c r="M1527" i="6"/>
  <c r="K1528" i="6"/>
  <c r="L1528" i="6"/>
  <c r="M1528" i="6"/>
  <c r="K1529" i="6"/>
  <c r="L1529" i="6"/>
  <c r="M1529" i="6"/>
  <c r="K1530" i="6"/>
  <c r="L1530" i="6"/>
  <c r="M1530" i="6"/>
  <c r="H1530" i="6" s="1"/>
  <c r="K1531" i="6"/>
  <c r="L1531" i="6"/>
  <c r="M1531" i="6"/>
  <c r="K1532" i="6"/>
  <c r="L1532" i="6"/>
  <c r="M1532" i="6"/>
  <c r="K1533" i="6"/>
  <c r="L1533" i="6"/>
  <c r="M1533" i="6"/>
  <c r="K1534" i="6"/>
  <c r="L1534" i="6"/>
  <c r="M1534" i="6"/>
  <c r="K1535" i="6"/>
  <c r="L1535" i="6"/>
  <c r="M1535" i="6"/>
  <c r="K1536" i="6"/>
  <c r="L1536" i="6"/>
  <c r="M1536" i="6"/>
  <c r="K1537" i="6"/>
  <c r="L1537" i="6"/>
  <c r="M1537" i="6"/>
  <c r="K1538" i="6"/>
  <c r="L1538" i="6"/>
  <c r="M1538" i="6"/>
  <c r="H1538" i="6" s="1"/>
  <c r="K1539" i="6"/>
  <c r="L1539" i="6"/>
  <c r="M1539" i="6"/>
  <c r="K1540" i="6"/>
  <c r="L1540" i="6"/>
  <c r="M1540" i="6"/>
  <c r="K1541" i="6"/>
  <c r="L1541" i="6"/>
  <c r="M1541" i="6"/>
  <c r="K1542" i="6"/>
  <c r="L1542" i="6"/>
  <c r="M1542" i="6"/>
  <c r="K1543" i="6"/>
  <c r="L1543" i="6"/>
  <c r="M1543" i="6"/>
  <c r="K1544" i="6"/>
  <c r="L1544" i="6"/>
  <c r="M1544" i="6"/>
  <c r="K1545" i="6"/>
  <c r="L1545" i="6"/>
  <c r="M1545" i="6"/>
  <c r="K1546" i="6"/>
  <c r="L1546" i="6"/>
  <c r="M1546" i="6"/>
  <c r="H1546" i="6" s="1"/>
  <c r="K1547" i="6"/>
  <c r="L1547" i="6"/>
  <c r="M1547" i="6"/>
  <c r="K1548" i="6"/>
  <c r="L1548" i="6"/>
  <c r="M1548" i="6"/>
  <c r="K1549" i="6"/>
  <c r="L1549" i="6"/>
  <c r="M1549" i="6"/>
  <c r="K1550" i="6"/>
  <c r="L1550" i="6"/>
  <c r="M1550" i="6"/>
  <c r="K1551" i="6"/>
  <c r="L1551" i="6"/>
  <c r="M1551" i="6"/>
  <c r="K1552" i="6"/>
  <c r="L1552" i="6"/>
  <c r="M1552" i="6"/>
  <c r="K1553" i="6"/>
  <c r="L1553" i="6"/>
  <c r="M1553" i="6"/>
  <c r="K1554" i="6"/>
  <c r="L1554" i="6"/>
  <c r="M1554" i="6"/>
  <c r="K1555" i="6"/>
  <c r="L1555" i="6"/>
  <c r="M1555" i="6"/>
  <c r="K1556" i="6"/>
  <c r="L1556" i="6"/>
  <c r="M1556" i="6"/>
  <c r="K1557" i="6"/>
  <c r="L1557" i="6"/>
  <c r="M1557" i="6"/>
  <c r="K1558" i="6"/>
  <c r="L1558" i="6"/>
  <c r="M1558" i="6"/>
  <c r="K1559" i="6"/>
  <c r="L1559" i="6"/>
  <c r="M1559" i="6"/>
  <c r="K1560" i="6"/>
  <c r="L1560" i="6"/>
  <c r="M1560" i="6"/>
  <c r="K1561" i="6"/>
  <c r="L1561" i="6"/>
  <c r="M1561" i="6"/>
  <c r="K1562" i="6"/>
  <c r="L1562" i="6"/>
  <c r="M1562" i="6"/>
  <c r="K1563" i="6"/>
  <c r="L1563" i="6"/>
  <c r="M1563" i="6"/>
  <c r="K1564" i="6"/>
  <c r="L1564" i="6"/>
  <c r="M1564" i="6"/>
  <c r="K1565" i="6"/>
  <c r="L1565" i="6"/>
  <c r="M1565" i="6"/>
  <c r="K1566" i="6"/>
  <c r="L1566" i="6"/>
  <c r="M1566" i="6"/>
  <c r="K1567" i="6"/>
  <c r="L1567" i="6"/>
  <c r="M1567" i="6"/>
  <c r="K1568" i="6"/>
  <c r="L1568" i="6"/>
  <c r="M1568" i="6"/>
  <c r="K1569" i="6"/>
  <c r="L1569" i="6"/>
  <c r="M1569" i="6"/>
  <c r="K1570" i="6"/>
  <c r="L1570" i="6"/>
  <c r="M1570" i="6"/>
  <c r="H1570" i="6" s="1"/>
  <c r="K1571" i="6"/>
  <c r="L1571" i="6"/>
  <c r="M1571" i="6"/>
  <c r="K1572" i="6"/>
  <c r="L1572" i="6"/>
  <c r="M1572" i="6"/>
  <c r="K1573" i="6"/>
  <c r="L1573" i="6"/>
  <c r="M1573" i="6"/>
  <c r="K1574" i="6"/>
  <c r="L1574" i="6"/>
  <c r="M1574" i="6"/>
  <c r="K1575" i="6"/>
  <c r="L1575" i="6"/>
  <c r="M1575" i="6"/>
  <c r="K1576" i="6"/>
  <c r="L1576" i="6"/>
  <c r="M1576" i="6"/>
  <c r="K1577" i="6"/>
  <c r="L1577" i="6"/>
  <c r="M1577" i="6"/>
  <c r="K1578" i="6"/>
  <c r="L1578" i="6"/>
  <c r="M1578" i="6"/>
  <c r="H1578" i="6" s="1"/>
  <c r="K1579" i="6"/>
  <c r="L1579" i="6"/>
  <c r="M1579" i="6"/>
  <c r="K1580" i="6"/>
  <c r="L1580" i="6"/>
  <c r="M1580" i="6"/>
  <c r="K1581" i="6"/>
  <c r="L1581" i="6"/>
  <c r="M1581" i="6"/>
  <c r="K1582" i="6"/>
  <c r="L1582" i="6"/>
  <c r="M1582" i="6"/>
  <c r="K1583" i="6"/>
  <c r="L1583" i="6"/>
  <c r="M1583" i="6"/>
  <c r="K1584" i="6"/>
  <c r="L1584" i="6"/>
  <c r="M1584" i="6"/>
  <c r="K1585" i="6"/>
  <c r="L1585" i="6"/>
  <c r="M1585" i="6"/>
  <c r="K1586" i="6"/>
  <c r="L1586" i="6"/>
  <c r="M1586" i="6"/>
  <c r="K1587" i="6"/>
  <c r="L1587" i="6"/>
  <c r="M1587" i="6"/>
  <c r="K1588" i="6"/>
  <c r="L1588" i="6"/>
  <c r="M1588" i="6"/>
  <c r="K1589" i="6"/>
  <c r="L1589" i="6"/>
  <c r="M1589" i="6"/>
  <c r="K1590" i="6"/>
  <c r="L1590" i="6"/>
  <c r="M1590" i="6"/>
  <c r="K1591" i="6"/>
  <c r="L1591" i="6"/>
  <c r="M1591" i="6"/>
  <c r="K1592" i="6"/>
  <c r="L1592" i="6"/>
  <c r="M1592" i="6"/>
  <c r="K1593" i="6"/>
  <c r="L1593" i="6"/>
  <c r="M1593" i="6"/>
  <c r="K1594" i="6"/>
  <c r="L1594" i="6"/>
  <c r="M1594" i="6"/>
  <c r="K1595" i="6"/>
  <c r="L1595" i="6"/>
  <c r="M1595" i="6"/>
  <c r="K1596" i="6"/>
  <c r="L1596" i="6"/>
  <c r="M1596" i="6"/>
  <c r="K1597" i="6"/>
  <c r="L1597" i="6"/>
  <c r="M1597" i="6"/>
  <c r="K1598" i="6"/>
  <c r="L1598" i="6"/>
  <c r="M1598" i="6"/>
  <c r="K1599" i="6"/>
  <c r="L1599" i="6"/>
  <c r="M1599" i="6"/>
  <c r="K1600" i="6"/>
  <c r="L1600" i="6"/>
  <c r="M1600" i="6"/>
  <c r="K1601" i="6"/>
  <c r="L1601" i="6"/>
  <c r="M1601" i="6"/>
  <c r="K1602" i="6"/>
  <c r="L1602" i="6"/>
  <c r="M1602" i="6"/>
  <c r="H1602" i="6" s="1"/>
  <c r="K1603" i="6"/>
  <c r="L1603" i="6"/>
  <c r="M1603" i="6"/>
  <c r="K1604" i="6"/>
  <c r="L1604" i="6"/>
  <c r="M1604" i="6"/>
  <c r="K1605" i="6"/>
  <c r="L1605" i="6"/>
  <c r="M1605" i="6"/>
  <c r="K1606" i="6"/>
  <c r="L1606" i="6"/>
  <c r="M1606" i="6"/>
  <c r="K1607" i="6"/>
  <c r="L1607" i="6"/>
  <c r="M1607" i="6"/>
  <c r="K1608" i="6"/>
  <c r="L1608" i="6"/>
  <c r="M1608" i="6"/>
  <c r="K1609" i="6"/>
  <c r="L1609" i="6"/>
  <c r="M1609" i="6"/>
  <c r="K1610" i="6"/>
  <c r="L1610" i="6"/>
  <c r="M1610" i="6"/>
  <c r="H1610" i="6" s="1"/>
  <c r="K1611" i="6"/>
  <c r="L1611" i="6"/>
  <c r="M1611" i="6"/>
  <c r="K1612" i="6"/>
  <c r="L1612" i="6"/>
  <c r="M1612" i="6"/>
  <c r="K1613" i="6"/>
  <c r="L1613" i="6"/>
  <c r="M1613" i="6"/>
  <c r="K1614" i="6"/>
  <c r="L1614" i="6"/>
  <c r="M1614" i="6"/>
  <c r="K1615" i="6"/>
  <c r="L1615" i="6"/>
  <c r="M1615" i="6"/>
  <c r="K1616" i="6"/>
  <c r="L1616" i="6"/>
  <c r="M1616" i="6"/>
  <c r="K1617" i="6"/>
  <c r="L1617" i="6"/>
  <c r="M1617" i="6"/>
  <c r="K1618" i="6"/>
  <c r="L1618" i="6"/>
  <c r="M1618" i="6"/>
  <c r="K1619" i="6"/>
  <c r="L1619" i="6"/>
  <c r="M1619" i="6"/>
  <c r="K1620" i="6"/>
  <c r="L1620" i="6"/>
  <c r="M1620" i="6"/>
  <c r="K1621" i="6"/>
  <c r="L1621" i="6"/>
  <c r="M1621" i="6"/>
  <c r="K1622" i="6"/>
  <c r="L1622" i="6"/>
  <c r="M1622" i="6"/>
  <c r="K1623" i="6"/>
  <c r="L1623" i="6"/>
  <c r="M1623" i="6"/>
  <c r="K1624" i="6"/>
  <c r="L1624" i="6"/>
  <c r="M1624" i="6"/>
  <c r="K1625" i="6"/>
  <c r="L1625" i="6"/>
  <c r="M1625" i="6"/>
  <c r="K1626" i="6"/>
  <c r="L1626" i="6"/>
  <c r="M1626" i="6"/>
  <c r="K1627" i="6"/>
  <c r="L1627" i="6"/>
  <c r="M1627" i="6"/>
  <c r="K1628" i="6"/>
  <c r="L1628" i="6"/>
  <c r="M1628" i="6"/>
  <c r="K1629" i="6"/>
  <c r="L1629" i="6"/>
  <c r="M1629" i="6"/>
  <c r="K1630" i="6"/>
  <c r="L1630" i="6"/>
  <c r="M1630" i="6"/>
  <c r="K1631" i="6"/>
  <c r="L1631" i="6"/>
  <c r="M1631" i="6"/>
  <c r="K1632" i="6"/>
  <c r="L1632" i="6"/>
  <c r="M1632" i="6"/>
  <c r="K1633" i="6"/>
  <c r="L1633" i="6"/>
  <c r="M1633" i="6"/>
  <c r="K1634" i="6"/>
  <c r="L1634" i="6"/>
  <c r="M1634" i="6"/>
  <c r="K1635" i="6"/>
  <c r="L1635" i="6"/>
  <c r="M1635" i="6"/>
  <c r="K1636" i="6"/>
  <c r="L1636" i="6"/>
  <c r="M1636" i="6"/>
  <c r="K1637" i="6"/>
  <c r="L1637" i="6"/>
  <c r="M1637" i="6"/>
  <c r="K1638" i="6"/>
  <c r="L1638" i="6"/>
  <c r="M1638" i="6"/>
  <c r="K1639" i="6"/>
  <c r="L1639" i="6"/>
  <c r="M1639" i="6"/>
  <c r="K1640" i="6"/>
  <c r="L1640" i="6"/>
  <c r="M1640" i="6"/>
  <c r="K1641" i="6"/>
  <c r="L1641" i="6"/>
  <c r="M1641" i="6"/>
  <c r="K1642" i="6"/>
  <c r="L1642" i="6"/>
  <c r="M1642" i="6"/>
  <c r="K1643" i="6"/>
  <c r="L1643" i="6"/>
  <c r="M1643" i="6"/>
  <c r="K1644" i="6"/>
  <c r="L1644" i="6"/>
  <c r="M1644" i="6"/>
  <c r="K1645" i="6"/>
  <c r="L1645" i="6"/>
  <c r="M1645" i="6"/>
  <c r="K1646" i="6"/>
  <c r="L1646" i="6"/>
  <c r="M1646" i="6"/>
  <c r="K1647" i="6"/>
  <c r="L1647" i="6"/>
  <c r="M1647" i="6"/>
  <c r="K1648" i="6"/>
  <c r="L1648" i="6"/>
  <c r="M1648" i="6"/>
  <c r="K1649" i="6"/>
  <c r="L1649" i="6"/>
  <c r="M1649" i="6"/>
  <c r="K1650" i="6"/>
  <c r="L1650" i="6"/>
  <c r="M1650" i="6"/>
  <c r="K1651" i="6"/>
  <c r="L1651" i="6"/>
  <c r="M1651" i="6"/>
  <c r="K1652" i="6"/>
  <c r="L1652" i="6"/>
  <c r="M1652" i="6"/>
  <c r="K1653" i="6"/>
  <c r="L1653" i="6"/>
  <c r="M1653" i="6"/>
  <c r="K1654" i="6"/>
  <c r="L1654" i="6"/>
  <c r="M1654" i="6"/>
  <c r="K1655" i="6"/>
  <c r="L1655" i="6"/>
  <c r="M1655" i="6"/>
  <c r="K1656" i="6"/>
  <c r="L1656" i="6"/>
  <c r="M1656" i="6"/>
  <c r="K1657" i="6"/>
  <c r="L1657" i="6"/>
  <c r="M1657" i="6"/>
  <c r="K1658" i="6"/>
  <c r="L1658" i="6"/>
  <c r="M1658" i="6"/>
  <c r="H1658" i="6" s="1"/>
  <c r="K1659" i="6"/>
  <c r="L1659" i="6"/>
  <c r="M1659" i="6"/>
  <c r="K1660" i="6"/>
  <c r="L1660" i="6"/>
  <c r="M1660" i="6"/>
  <c r="K1661" i="6"/>
  <c r="L1661" i="6"/>
  <c r="M1661" i="6"/>
  <c r="K1662" i="6"/>
  <c r="L1662" i="6"/>
  <c r="M1662" i="6"/>
  <c r="K1663" i="6"/>
  <c r="L1663" i="6"/>
  <c r="M1663" i="6"/>
  <c r="K1664" i="6"/>
  <c r="L1664" i="6"/>
  <c r="M1664" i="6"/>
  <c r="K1665" i="6"/>
  <c r="L1665" i="6"/>
  <c r="M1665" i="6"/>
  <c r="K1666" i="6"/>
  <c r="L1666" i="6"/>
  <c r="M1666" i="6"/>
  <c r="K1667" i="6"/>
  <c r="L1667" i="6"/>
  <c r="M1667" i="6"/>
  <c r="K1668" i="6"/>
  <c r="L1668" i="6"/>
  <c r="M1668" i="6"/>
  <c r="K1669" i="6"/>
  <c r="L1669" i="6"/>
  <c r="M1669" i="6"/>
  <c r="K1670" i="6"/>
  <c r="L1670" i="6"/>
  <c r="M1670" i="6"/>
  <c r="K1671" i="6"/>
  <c r="L1671" i="6"/>
  <c r="M1671" i="6"/>
  <c r="K1672" i="6"/>
  <c r="L1672" i="6"/>
  <c r="M1672" i="6"/>
  <c r="K1673" i="6"/>
  <c r="L1673" i="6"/>
  <c r="M1673" i="6"/>
  <c r="K1674" i="6"/>
  <c r="L1674" i="6"/>
  <c r="M1674" i="6"/>
  <c r="K1675" i="6"/>
  <c r="L1675" i="6"/>
  <c r="M1675" i="6"/>
  <c r="K1676" i="6"/>
  <c r="L1676" i="6"/>
  <c r="M1676" i="6"/>
  <c r="K1677" i="6"/>
  <c r="L1677" i="6"/>
  <c r="M1677" i="6"/>
  <c r="K1678" i="6"/>
  <c r="L1678" i="6"/>
  <c r="M1678" i="6"/>
  <c r="K1679" i="6"/>
  <c r="L1679" i="6"/>
  <c r="M1679" i="6"/>
  <c r="K1680" i="6"/>
  <c r="L1680" i="6"/>
  <c r="M1680" i="6"/>
  <c r="K1681" i="6"/>
  <c r="L1681" i="6"/>
  <c r="M1681" i="6"/>
  <c r="K1682" i="6"/>
  <c r="L1682" i="6"/>
  <c r="M1682" i="6"/>
  <c r="K1683" i="6"/>
  <c r="L1683" i="6"/>
  <c r="M1683" i="6"/>
  <c r="K1684" i="6"/>
  <c r="L1684" i="6"/>
  <c r="M1684" i="6"/>
  <c r="K1685" i="6"/>
  <c r="L1685" i="6"/>
  <c r="M1685" i="6"/>
  <c r="K1686" i="6"/>
  <c r="L1686" i="6"/>
  <c r="M1686" i="6"/>
  <c r="K1687" i="6"/>
  <c r="L1687" i="6"/>
  <c r="M1687" i="6"/>
  <c r="K1688" i="6"/>
  <c r="L1688" i="6"/>
  <c r="M1688" i="6"/>
  <c r="K1689" i="6"/>
  <c r="L1689" i="6"/>
  <c r="M1689" i="6"/>
  <c r="K1690" i="6"/>
  <c r="L1690" i="6"/>
  <c r="M1690" i="6"/>
  <c r="K1691" i="6"/>
  <c r="L1691" i="6"/>
  <c r="M1691" i="6"/>
  <c r="K1692" i="6"/>
  <c r="L1692" i="6"/>
  <c r="M1692" i="6"/>
  <c r="K1693" i="6"/>
  <c r="L1693" i="6"/>
  <c r="M1693" i="6"/>
  <c r="K1694" i="6"/>
  <c r="L1694" i="6"/>
  <c r="M1694" i="6"/>
  <c r="K1695" i="6"/>
  <c r="L1695" i="6"/>
  <c r="M1695" i="6"/>
  <c r="K1696" i="6"/>
  <c r="L1696" i="6"/>
  <c r="M1696" i="6"/>
  <c r="K1697" i="6"/>
  <c r="L1697" i="6"/>
  <c r="M1697" i="6"/>
  <c r="K1698" i="6"/>
  <c r="L1698" i="6"/>
  <c r="M1698" i="6"/>
  <c r="K1699" i="6"/>
  <c r="L1699" i="6"/>
  <c r="M1699" i="6"/>
  <c r="K1700" i="6"/>
  <c r="L1700" i="6"/>
  <c r="M1700" i="6"/>
  <c r="K1701" i="6"/>
  <c r="L1701" i="6"/>
  <c r="M1701" i="6"/>
  <c r="K1702" i="6"/>
  <c r="L1702" i="6"/>
  <c r="M1702" i="6"/>
  <c r="K1703" i="6"/>
  <c r="L1703" i="6"/>
  <c r="M1703" i="6"/>
  <c r="H1250" i="6"/>
  <c r="H1251" i="6"/>
  <c r="H1255" i="6"/>
  <c r="H1258" i="6"/>
  <c r="H1259" i="6"/>
  <c r="H1263" i="6"/>
  <c r="H1266" i="6"/>
  <c r="H1267" i="6"/>
  <c r="H1271" i="6"/>
  <c r="H1274" i="6"/>
  <c r="H1275" i="6"/>
  <c r="H1279" i="6"/>
  <c r="H1282" i="6"/>
  <c r="H1283" i="6"/>
  <c r="H1287" i="6"/>
  <c r="H1290" i="6"/>
  <c r="H1291" i="6"/>
  <c r="H1295" i="6"/>
  <c r="H1298" i="6"/>
  <c r="H1299" i="6"/>
  <c r="H1303" i="6"/>
  <c r="H1306" i="6"/>
  <c r="H1307" i="6"/>
  <c r="H1311" i="6"/>
  <c r="H1314" i="6"/>
  <c r="H1315" i="6"/>
  <c r="H1319" i="6"/>
  <c r="H1322" i="6"/>
  <c r="H1323" i="6"/>
  <c r="H1328" i="6"/>
  <c r="H1332" i="6"/>
  <c r="H1340" i="6"/>
  <c r="H1344" i="6"/>
  <c r="H1348" i="6"/>
  <c r="H1356" i="6"/>
  <c r="H1364" i="6"/>
  <c r="H1372" i="6"/>
  <c r="H1376" i="6"/>
  <c r="H1388" i="6"/>
  <c r="H1392" i="6"/>
  <c r="H1396" i="6"/>
  <c r="H1408" i="6"/>
  <c r="H1412" i="6"/>
  <c r="H1420" i="6"/>
  <c r="H1428" i="6"/>
  <c r="H1436" i="6"/>
  <c r="H1460" i="6"/>
  <c r="H1476" i="6"/>
  <c r="H1522" i="6"/>
  <c r="H1554" i="6"/>
  <c r="H1586" i="6"/>
  <c r="H1618" i="6"/>
  <c r="H1673" i="6" l="1"/>
  <c r="H1669" i="6"/>
  <c r="H1665" i="6"/>
  <c r="H1661" i="6"/>
  <c r="H1657" i="6"/>
  <c r="H1653" i="6"/>
  <c r="H1649" i="6"/>
  <c r="H1645" i="6"/>
  <c r="H1641" i="6"/>
  <c r="H1640" i="6"/>
  <c r="H1637" i="6"/>
  <c r="H1636" i="6"/>
  <c r="H1633" i="6"/>
  <c r="H1632" i="6"/>
  <c r="H1629" i="6"/>
  <c r="H1701" i="6"/>
  <c r="H1697" i="6"/>
  <c r="H1693" i="6"/>
  <c r="H1689" i="6"/>
  <c r="H1685" i="6"/>
  <c r="H1681" i="6"/>
  <c r="H1677" i="6"/>
  <c r="H1686" i="6"/>
  <c r="H1674" i="6"/>
  <c r="H1628" i="6"/>
  <c r="H1625" i="6"/>
  <c r="H1621" i="6"/>
  <c r="H1620" i="6"/>
  <c r="H1617" i="6"/>
  <c r="H1616" i="6"/>
  <c r="H1613" i="6"/>
  <c r="H1612" i="6"/>
  <c r="H1609" i="6"/>
  <c r="H1608" i="6"/>
  <c r="H1605" i="6"/>
  <c r="H1604" i="6"/>
  <c r="H1601" i="6"/>
  <c r="H1600" i="6"/>
  <c r="H1597" i="6"/>
  <c r="H1596" i="6"/>
  <c r="H1593" i="6"/>
  <c r="H1592" i="6"/>
  <c r="H1589" i="6"/>
  <c r="H1588" i="6"/>
  <c r="H1585" i="6"/>
  <c r="H1584" i="6"/>
  <c r="H1581" i="6"/>
  <c r="H1580" i="6"/>
  <c r="H1577" i="6"/>
  <c r="H1576" i="6"/>
  <c r="H1573" i="6"/>
  <c r="H1572" i="6"/>
  <c r="H1569" i="6"/>
  <c r="H1568" i="6"/>
  <c r="H1565" i="6"/>
  <c r="H1564" i="6"/>
  <c r="H1561" i="6"/>
  <c r="H1560" i="6"/>
  <c r="H1557" i="6"/>
  <c r="H1556" i="6"/>
  <c r="H1553" i="6"/>
  <c r="H1552" i="6"/>
  <c r="H1549" i="6"/>
  <c r="H1548" i="6"/>
  <c r="H1545" i="6"/>
  <c r="H1544" i="6"/>
  <c r="H1541" i="6"/>
  <c r="H1540" i="6"/>
  <c r="H1537" i="6"/>
  <c r="H1536" i="6"/>
  <c r="H1533" i="6"/>
  <c r="H1532" i="6"/>
  <c r="H1529" i="6"/>
  <c r="H1528" i="6"/>
  <c r="H1525" i="6"/>
  <c r="H1524" i="6"/>
  <c r="H1521" i="6"/>
  <c r="H1520" i="6"/>
  <c r="H1517" i="6"/>
  <c r="H1516" i="6"/>
  <c r="H1513" i="6"/>
  <c r="H1512" i="6"/>
  <c r="H1509" i="6"/>
  <c r="H1508" i="6"/>
  <c r="H1505" i="6"/>
  <c r="H1504" i="6"/>
  <c r="H1501" i="6"/>
  <c r="H1500" i="6"/>
  <c r="H1497" i="6"/>
  <c r="H1496" i="6"/>
  <c r="H1493" i="6"/>
  <c r="H1489" i="6"/>
  <c r="H1488" i="6"/>
  <c r="H1485" i="6"/>
  <c r="H1484" i="6"/>
  <c r="H1481" i="6"/>
  <c r="H1480" i="6"/>
  <c r="H1477" i="6"/>
  <c r="H1473" i="6"/>
  <c r="H1472" i="6"/>
  <c r="H1469" i="6"/>
  <c r="H1468" i="6"/>
  <c r="H1465" i="6"/>
  <c r="H1464" i="6"/>
  <c r="H1461" i="6"/>
  <c r="H1457" i="6"/>
  <c r="H1456" i="6"/>
  <c r="H1453" i="6"/>
  <c r="H1452" i="6"/>
  <c r="H1624" i="6"/>
  <c r="H1699" i="6"/>
  <c r="H1634" i="6"/>
  <c r="H1626" i="6"/>
  <c r="H1594" i="6"/>
  <c r="H1562" i="6"/>
  <c r="H1703" i="6"/>
  <c r="H1698" i="6"/>
  <c r="H1694" i="6"/>
  <c r="H1690" i="6"/>
  <c r="H1683" i="6"/>
  <c r="H1682" i="6"/>
  <c r="H1679" i="6"/>
  <c r="H1678" i="6"/>
  <c r="H1675" i="6"/>
  <c r="H1671" i="6"/>
  <c r="H1670" i="6"/>
  <c r="H1667" i="6"/>
  <c r="H1666" i="6"/>
  <c r="H1663" i="6"/>
  <c r="H1662" i="6"/>
  <c r="H1659" i="6"/>
  <c r="H1702" i="6"/>
  <c r="H1695" i="6"/>
  <c r="H1687" i="6"/>
  <c r="H1655" i="6"/>
  <c r="H1654" i="6"/>
  <c r="H1651" i="6"/>
  <c r="H1650" i="6"/>
  <c r="H1647" i="6"/>
  <c r="H1646" i="6"/>
  <c r="H1643" i="6"/>
  <c r="H1642" i="6"/>
  <c r="H1639" i="6"/>
  <c r="H1638" i="6"/>
  <c r="H1635" i="6"/>
  <c r="H1631" i="6"/>
  <c r="H1630" i="6"/>
  <c r="H1627" i="6"/>
  <c r="H1623" i="6"/>
  <c r="H1622" i="6"/>
  <c r="H1619" i="6"/>
  <c r="H1615" i="6"/>
  <c r="H1614" i="6"/>
  <c r="H1611" i="6"/>
  <c r="H1607" i="6"/>
  <c r="H1606" i="6"/>
  <c r="H1603" i="6"/>
  <c r="H1599" i="6"/>
  <c r="H1598" i="6"/>
  <c r="H1595" i="6"/>
  <c r="H1591" i="6"/>
  <c r="H1590" i="6"/>
  <c r="H1587" i="6"/>
  <c r="H1583" i="6"/>
  <c r="H1582" i="6"/>
  <c r="H1579" i="6"/>
  <c r="H1575" i="6"/>
  <c r="H1574" i="6"/>
  <c r="H1571" i="6"/>
  <c r="H1567" i="6"/>
  <c r="H1566" i="6"/>
  <c r="H1563" i="6"/>
  <c r="H1559" i="6"/>
  <c r="H1558" i="6"/>
  <c r="H1555" i="6"/>
  <c r="H1551" i="6"/>
  <c r="H1550" i="6"/>
  <c r="H1547" i="6"/>
  <c r="H1543" i="6"/>
  <c r="H1542" i="6"/>
  <c r="H1539" i="6"/>
  <c r="H1535" i="6"/>
  <c r="H1534" i="6"/>
  <c r="H1531" i="6"/>
  <c r="H1527" i="6"/>
  <c r="H1526" i="6"/>
  <c r="H1523" i="6"/>
  <c r="H1519" i="6"/>
  <c r="H1518" i="6"/>
  <c r="H1515" i="6"/>
  <c r="H1511" i="6"/>
  <c r="H1510" i="6"/>
  <c r="H1507" i="6"/>
  <c r="H1503" i="6"/>
  <c r="H1502" i="6"/>
  <c r="H1499" i="6"/>
  <c r="H1495" i="6"/>
  <c r="H1494" i="6"/>
  <c r="H1491" i="6"/>
  <c r="H1490" i="6"/>
  <c r="H1487" i="6"/>
  <c r="H1486" i="6"/>
  <c r="H1483" i="6"/>
  <c r="H1482" i="6"/>
  <c r="H1479" i="6"/>
  <c r="H1478" i="6"/>
  <c r="H1475" i="6"/>
  <c r="H1474" i="6"/>
  <c r="H1471" i="6"/>
  <c r="H1470" i="6"/>
  <c r="H1467" i="6"/>
  <c r="H1466" i="6"/>
  <c r="H1463" i="6"/>
  <c r="H1462" i="6"/>
  <c r="H1459" i="6"/>
  <c r="H1458" i="6"/>
  <c r="H1455" i="6"/>
  <c r="H1454" i="6"/>
  <c r="H1451" i="6"/>
  <c r="H1450" i="6"/>
  <c r="H1449" i="6"/>
  <c r="H1445" i="6"/>
  <c r="H1442" i="6"/>
  <c r="H1441" i="6"/>
  <c r="H1437" i="6"/>
  <c r="H1434" i="6"/>
  <c r="H1433" i="6"/>
  <c r="H1429" i="6"/>
  <c r="H1426" i="6"/>
  <c r="H1425" i="6"/>
  <c r="H1421" i="6"/>
  <c r="H1418" i="6"/>
  <c r="H1417" i="6"/>
  <c r="H1413" i="6"/>
  <c r="H1410" i="6"/>
  <c r="H1409" i="6"/>
  <c r="H1405" i="6"/>
  <c r="H1402" i="6"/>
  <c r="H1401" i="6"/>
  <c r="H1397" i="6"/>
  <c r="H1394" i="6"/>
  <c r="H1393" i="6"/>
  <c r="H1389" i="6"/>
  <c r="H1386" i="6"/>
  <c r="H1385" i="6"/>
  <c r="H1381" i="6"/>
  <c r="H1378" i="6"/>
  <c r="H1377" i="6"/>
  <c r="H1373" i="6"/>
  <c r="H1370" i="6"/>
  <c r="H1369" i="6"/>
  <c r="H1365" i="6"/>
  <c r="H1362" i="6"/>
  <c r="H1361" i="6"/>
  <c r="H1357" i="6"/>
  <c r="H1354" i="6"/>
  <c r="H1353" i="6"/>
  <c r="H1349" i="6"/>
  <c r="H1346" i="6"/>
  <c r="H1345" i="6"/>
  <c r="H1341" i="6"/>
  <c r="H1338" i="6"/>
  <c r="H1337" i="6"/>
  <c r="H1334" i="6"/>
  <c r="H1333" i="6"/>
  <c r="H1330" i="6"/>
  <c r="H1329" i="6"/>
  <c r="H1326" i="6"/>
  <c r="H1325" i="6"/>
  <c r="H1321" i="6"/>
  <c r="H1320" i="6"/>
  <c r="H1318" i="6"/>
  <c r="H1317" i="6"/>
  <c r="H1313" i="6"/>
  <c r="H1312" i="6"/>
  <c r="H1310" i="6"/>
  <c r="H1309" i="6"/>
  <c r="H1305" i="6"/>
  <c r="H1304" i="6"/>
  <c r="H1302" i="6"/>
  <c r="H1301" i="6"/>
  <c r="H1297" i="6"/>
  <c r="H1296" i="6"/>
  <c r="H1294" i="6"/>
  <c r="H1293" i="6"/>
  <c r="H1289" i="6"/>
  <c r="H1288" i="6"/>
  <c r="H1286" i="6"/>
  <c r="H1285" i="6"/>
  <c r="H1281" i="6"/>
  <c r="H1280" i="6"/>
  <c r="H1278" i="6"/>
  <c r="H1277" i="6"/>
  <c r="H1273" i="6"/>
  <c r="H1272" i="6"/>
  <c r="H1270" i="6"/>
  <c r="H1269" i="6"/>
  <c r="H1265" i="6"/>
  <c r="H1264" i="6"/>
  <c r="H1262" i="6"/>
  <c r="H1261" i="6"/>
  <c r="H1257" i="6"/>
  <c r="H1256" i="6"/>
  <c r="H1254" i="6"/>
  <c r="H1253" i="6"/>
  <c r="H1447" i="6"/>
  <c r="H1446" i="6"/>
  <c r="H1443" i="6"/>
  <c r="H1439" i="6"/>
  <c r="H1438" i="6"/>
  <c r="H1435" i="6"/>
  <c r="H1431" i="6"/>
  <c r="H1430" i="6"/>
  <c r="H1427" i="6"/>
  <c r="H1423" i="6"/>
  <c r="H1422" i="6"/>
  <c r="H1419" i="6"/>
  <c r="H1415" i="6"/>
  <c r="H1414" i="6"/>
  <c r="H1411" i="6"/>
  <c r="H1407" i="6"/>
  <c r="H1406" i="6"/>
  <c r="H1403" i="6"/>
  <c r="H1399" i="6"/>
  <c r="H1398" i="6"/>
  <c r="H1395" i="6"/>
  <c r="H1391" i="6"/>
  <c r="H1390" i="6"/>
  <c r="H1387" i="6"/>
  <c r="H1383" i="6"/>
  <c r="H1382" i="6"/>
  <c r="H1379" i="6"/>
  <c r="H1375" i="6"/>
  <c r="H1374" i="6"/>
  <c r="H1371" i="6"/>
  <c r="H1367" i="6"/>
  <c r="H1366" i="6"/>
  <c r="H1363" i="6"/>
  <c r="H1359" i="6"/>
  <c r="H1358" i="6"/>
  <c r="H1355" i="6"/>
  <c r="H1351" i="6"/>
  <c r="H1350" i="6"/>
  <c r="H1347" i="6"/>
  <c r="H1343" i="6"/>
  <c r="H1342" i="6"/>
  <c r="H1339" i="6"/>
  <c r="H1335" i="6"/>
  <c r="H1331" i="6"/>
  <c r="H1327" i="6"/>
  <c r="H1700" i="6"/>
  <c r="H1692" i="6"/>
  <c r="H1688" i="6"/>
  <c r="H1684" i="6"/>
  <c r="H1676" i="6"/>
  <c r="H1672" i="6"/>
  <c r="H1664" i="6"/>
  <c r="H1656" i="6"/>
  <c r="H1648" i="6"/>
  <c r="H1696" i="6"/>
  <c r="H1680" i="6"/>
  <c r="H1668" i="6"/>
  <c r="H1660" i="6"/>
  <c r="H1652" i="6"/>
  <c r="H1644" i="6"/>
  <c r="H1691" i="6"/>
  <c r="O12" i="11"/>
  <c r="O3" i="11"/>
  <c r="K10" i="11"/>
  <c r="K3" i="11"/>
  <c r="L10" i="11"/>
  <c r="L3" i="11"/>
  <c r="M11" i="11"/>
  <c r="M3" i="11"/>
  <c r="N11" i="11"/>
  <c r="N3" i="11"/>
  <c r="I9" i="11"/>
  <c r="I3" i="11"/>
  <c r="J9" i="11"/>
  <c r="J3" i="11"/>
  <c r="E6" i="11"/>
  <c r="E3" i="11"/>
  <c r="F6" i="11"/>
  <c r="F3" i="11"/>
  <c r="G7" i="11"/>
  <c r="G3" i="11"/>
  <c r="H8" i="11"/>
  <c r="H3" i="11"/>
  <c r="AA6" i="3"/>
  <c r="AK6" i="3"/>
  <c r="AY6" i="3" s="1"/>
  <c r="AZ6" i="3"/>
  <c r="X119" i="3"/>
  <c r="AH119" i="3" s="1"/>
  <c r="AW119" i="3" s="1"/>
  <c r="Y119" i="3"/>
  <c r="AF119" i="3" s="1"/>
  <c r="Z119" i="3"/>
  <c r="AB119" i="3"/>
  <c r="AK119" i="3"/>
  <c r="W119" i="3"/>
  <c r="AC119" i="3"/>
  <c r="K3" i="6"/>
  <c r="L3" i="6"/>
  <c r="M3" i="6"/>
  <c r="K4" i="6"/>
  <c r="L4" i="6"/>
  <c r="M4" i="6"/>
  <c r="K5" i="6"/>
  <c r="L5" i="6"/>
  <c r="H5" i="6" s="1"/>
  <c r="M5" i="6"/>
  <c r="K6" i="6"/>
  <c r="L6" i="6"/>
  <c r="M6" i="6"/>
  <c r="K7" i="6"/>
  <c r="L7" i="6"/>
  <c r="M7" i="6"/>
  <c r="K8" i="6"/>
  <c r="H8" i="6" s="1"/>
  <c r="L8" i="6"/>
  <c r="M8" i="6"/>
  <c r="K9" i="6"/>
  <c r="L9" i="6"/>
  <c r="M9" i="6"/>
  <c r="K10" i="6"/>
  <c r="L10" i="6"/>
  <c r="M10" i="6"/>
  <c r="K11" i="6"/>
  <c r="L11" i="6"/>
  <c r="M11" i="6"/>
  <c r="K12" i="6"/>
  <c r="H12" i="6" s="1"/>
  <c r="L12" i="6"/>
  <c r="M12" i="6"/>
  <c r="K13" i="6"/>
  <c r="L13" i="6"/>
  <c r="M13" i="6"/>
  <c r="K14" i="6"/>
  <c r="L14" i="6"/>
  <c r="M14" i="6"/>
  <c r="K15" i="6"/>
  <c r="L15" i="6"/>
  <c r="M15" i="6"/>
  <c r="K16" i="6"/>
  <c r="H16" i="6" s="1"/>
  <c r="L16" i="6"/>
  <c r="M16" i="6"/>
  <c r="K17" i="6"/>
  <c r="L17" i="6"/>
  <c r="H17" i="6" s="1"/>
  <c r="M17" i="6"/>
  <c r="K18" i="6"/>
  <c r="L18" i="6"/>
  <c r="M18" i="6"/>
  <c r="K19" i="6"/>
  <c r="L19" i="6"/>
  <c r="M19" i="6"/>
  <c r="K20" i="6"/>
  <c r="H20" i="6" s="1"/>
  <c r="L20" i="6"/>
  <c r="M20" i="6"/>
  <c r="K21" i="6"/>
  <c r="L21" i="6"/>
  <c r="H21" i="6" s="1"/>
  <c r="M21" i="6"/>
  <c r="K22" i="6"/>
  <c r="L22" i="6"/>
  <c r="M22" i="6"/>
  <c r="K23" i="6"/>
  <c r="L23" i="6"/>
  <c r="M23" i="6"/>
  <c r="K24" i="6"/>
  <c r="H24" i="6" s="1"/>
  <c r="L24" i="6"/>
  <c r="M24" i="6"/>
  <c r="K25" i="6"/>
  <c r="L25" i="6"/>
  <c r="H25" i="6" s="1"/>
  <c r="M25" i="6"/>
  <c r="K26" i="6"/>
  <c r="L26" i="6"/>
  <c r="M26" i="6"/>
  <c r="K27" i="6"/>
  <c r="L27" i="6"/>
  <c r="M27" i="6"/>
  <c r="K28" i="6"/>
  <c r="L28" i="6"/>
  <c r="M28" i="6"/>
  <c r="K29" i="6"/>
  <c r="L29" i="6"/>
  <c r="M29" i="6"/>
  <c r="K30" i="6"/>
  <c r="L30" i="6"/>
  <c r="M30" i="6"/>
  <c r="K31" i="6"/>
  <c r="L31" i="6"/>
  <c r="M31" i="6"/>
  <c r="K32" i="6"/>
  <c r="H32" i="6" s="1"/>
  <c r="L32" i="6"/>
  <c r="M32" i="6"/>
  <c r="K33" i="6"/>
  <c r="L33" i="6"/>
  <c r="H33" i="6" s="1"/>
  <c r="M33" i="6"/>
  <c r="K34" i="6"/>
  <c r="L34" i="6"/>
  <c r="M34" i="6"/>
  <c r="H34" i="6" s="1"/>
  <c r="K35" i="6"/>
  <c r="L35" i="6"/>
  <c r="M35" i="6"/>
  <c r="K36" i="6"/>
  <c r="H36" i="6" s="1"/>
  <c r="L36" i="6"/>
  <c r="M36" i="6"/>
  <c r="K37" i="6"/>
  <c r="L37" i="6"/>
  <c r="H37" i="6" s="1"/>
  <c r="M37" i="6"/>
  <c r="K38" i="6"/>
  <c r="L38" i="6"/>
  <c r="M38" i="6"/>
  <c r="K39" i="6"/>
  <c r="L39" i="6"/>
  <c r="M39" i="6"/>
  <c r="K40" i="6"/>
  <c r="L40" i="6"/>
  <c r="M40" i="6"/>
  <c r="K41" i="6"/>
  <c r="L41" i="6"/>
  <c r="H41" i="6" s="1"/>
  <c r="M41" i="6"/>
  <c r="K42" i="6"/>
  <c r="L42" i="6"/>
  <c r="M42" i="6"/>
  <c r="K43" i="6"/>
  <c r="L43" i="6"/>
  <c r="M43" i="6"/>
  <c r="K44" i="6"/>
  <c r="H44" i="6" s="1"/>
  <c r="L44" i="6"/>
  <c r="M44" i="6"/>
  <c r="K45" i="6"/>
  <c r="L45" i="6"/>
  <c r="M45" i="6"/>
  <c r="K46" i="6"/>
  <c r="L46" i="6"/>
  <c r="M46" i="6"/>
  <c r="H46" i="6" s="1"/>
  <c r="K47" i="6"/>
  <c r="L47" i="6"/>
  <c r="M47" i="6"/>
  <c r="K48" i="6"/>
  <c r="L48" i="6"/>
  <c r="M48" i="6"/>
  <c r="K49" i="6"/>
  <c r="L49" i="6"/>
  <c r="H49" i="6" s="1"/>
  <c r="M49" i="6"/>
  <c r="K50" i="6"/>
  <c r="L50" i="6"/>
  <c r="M50" i="6"/>
  <c r="K51" i="6"/>
  <c r="L51" i="6"/>
  <c r="M51" i="6"/>
  <c r="K52" i="6"/>
  <c r="H52" i="6" s="1"/>
  <c r="L52" i="6"/>
  <c r="M52" i="6"/>
  <c r="K53" i="6"/>
  <c r="L53" i="6"/>
  <c r="H53" i="6" s="1"/>
  <c r="M53" i="6"/>
  <c r="K54" i="6"/>
  <c r="L54" i="6"/>
  <c r="M54" i="6"/>
  <c r="K55" i="6"/>
  <c r="L55" i="6"/>
  <c r="M55" i="6"/>
  <c r="K56" i="6"/>
  <c r="H56" i="6" s="1"/>
  <c r="L56" i="6"/>
  <c r="M56" i="6"/>
  <c r="K57" i="6"/>
  <c r="L57" i="6"/>
  <c r="H57" i="6" s="1"/>
  <c r="M57" i="6"/>
  <c r="K58" i="6"/>
  <c r="L58" i="6"/>
  <c r="M58" i="6"/>
  <c r="K59" i="6"/>
  <c r="L59" i="6"/>
  <c r="M59" i="6"/>
  <c r="K60" i="6"/>
  <c r="H60" i="6" s="1"/>
  <c r="L60" i="6"/>
  <c r="M60" i="6"/>
  <c r="K61" i="6"/>
  <c r="L61" i="6"/>
  <c r="M61" i="6"/>
  <c r="K62" i="6"/>
  <c r="L62" i="6"/>
  <c r="M62" i="6"/>
  <c r="K63" i="6"/>
  <c r="L63" i="6"/>
  <c r="M63" i="6"/>
  <c r="K64" i="6"/>
  <c r="L64" i="6"/>
  <c r="M64" i="6"/>
  <c r="K65" i="6"/>
  <c r="L65" i="6"/>
  <c r="M65" i="6"/>
  <c r="K66" i="6"/>
  <c r="L66" i="6"/>
  <c r="M66" i="6"/>
  <c r="K67" i="6"/>
  <c r="L67" i="6"/>
  <c r="M67" i="6"/>
  <c r="K68" i="6"/>
  <c r="L68" i="6"/>
  <c r="M68" i="6"/>
  <c r="K69" i="6"/>
  <c r="L69" i="6"/>
  <c r="M69" i="6"/>
  <c r="K70" i="6"/>
  <c r="L70" i="6"/>
  <c r="M70" i="6"/>
  <c r="K71" i="6"/>
  <c r="L71" i="6"/>
  <c r="M71" i="6"/>
  <c r="K72" i="6"/>
  <c r="L72" i="6"/>
  <c r="M72" i="6"/>
  <c r="K73" i="6"/>
  <c r="L73" i="6"/>
  <c r="M73" i="6"/>
  <c r="K74" i="6"/>
  <c r="L74" i="6"/>
  <c r="M74" i="6"/>
  <c r="K75" i="6"/>
  <c r="L75" i="6"/>
  <c r="M75" i="6"/>
  <c r="K76" i="6"/>
  <c r="L76" i="6"/>
  <c r="M76" i="6"/>
  <c r="K77" i="6"/>
  <c r="L77" i="6"/>
  <c r="H77" i="6" s="1"/>
  <c r="M77" i="6"/>
  <c r="K78" i="6"/>
  <c r="L78" i="6"/>
  <c r="M78" i="6"/>
  <c r="K79" i="6"/>
  <c r="L79" i="6"/>
  <c r="M79" i="6"/>
  <c r="K80" i="6"/>
  <c r="H80" i="6" s="1"/>
  <c r="L80" i="6"/>
  <c r="M80" i="6"/>
  <c r="K81" i="6"/>
  <c r="L81" i="6"/>
  <c r="H81" i="6" s="1"/>
  <c r="M81" i="6"/>
  <c r="K82" i="6"/>
  <c r="L82" i="6"/>
  <c r="M82" i="6"/>
  <c r="K83" i="6"/>
  <c r="L83" i="6"/>
  <c r="M83" i="6"/>
  <c r="K84" i="6"/>
  <c r="L84" i="6"/>
  <c r="M84" i="6"/>
  <c r="K85" i="6"/>
  <c r="L85" i="6"/>
  <c r="H85" i="6" s="1"/>
  <c r="M85" i="6"/>
  <c r="K86" i="6"/>
  <c r="L86" i="6"/>
  <c r="M86" i="6"/>
  <c r="K87" i="6"/>
  <c r="L87" i="6"/>
  <c r="M87" i="6"/>
  <c r="K88" i="6"/>
  <c r="H88" i="6" s="1"/>
  <c r="L88" i="6"/>
  <c r="M88" i="6"/>
  <c r="K89" i="6"/>
  <c r="L89" i="6"/>
  <c r="M89" i="6"/>
  <c r="K90" i="6"/>
  <c r="L90" i="6"/>
  <c r="M90" i="6"/>
  <c r="K91" i="6"/>
  <c r="L91" i="6"/>
  <c r="M91" i="6"/>
  <c r="K92" i="6"/>
  <c r="H92" i="6" s="1"/>
  <c r="L92" i="6"/>
  <c r="M92" i="6"/>
  <c r="K93" i="6"/>
  <c r="L93" i="6"/>
  <c r="H93" i="6" s="1"/>
  <c r="M93" i="6"/>
  <c r="K94" i="6"/>
  <c r="L94" i="6"/>
  <c r="M94" i="6"/>
  <c r="K95" i="6"/>
  <c r="L95" i="6"/>
  <c r="M95" i="6"/>
  <c r="K96" i="6"/>
  <c r="H96" i="6" s="1"/>
  <c r="L96" i="6"/>
  <c r="M96" i="6"/>
  <c r="K97" i="6"/>
  <c r="L97" i="6"/>
  <c r="H97" i="6" s="1"/>
  <c r="M97" i="6"/>
  <c r="K98" i="6"/>
  <c r="L98" i="6"/>
  <c r="M98" i="6"/>
  <c r="K99" i="6"/>
  <c r="L99" i="6"/>
  <c r="M99" i="6"/>
  <c r="K100" i="6"/>
  <c r="H100" i="6" s="1"/>
  <c r="L100" i="6"/>
  <c r="M100" i="6"/>
  <c r="K101" i="6"/>
  <c r="L101" i="6"/>
  <c r="H101" i="6" s="1"/>
  <c r="M101" i="6"/>
  <c r="K102" i="6"/>
  <c r="L102" i="6"/>
  <c r="M102" i="6"/>
  <c r="K103" i="6"/>
  <c r="L103" i="6"/>
  <c r="M103" i="6"/>
  <c r="K104" i="6"/>
  <c r="L104" i="6"/>
  <c r="M104" i="6"/>
  <c r="K105" i="6"/>
  <c r="L105" i="6"/>
  <c r="M105" i="6"/>
  <c r="K106" i="6"/>
  <c r="L106" i="6"/>
  <c r="M106" i="6"/>
  <c r="H106" i="6" s="1"/>
  <c r="K107" i="6"/>
  <c r="L107" i="6"/>
  <c r="M107" i="6"/>
  <c r="K108" i="6"/>
  <c r="L108" i="6"/>
  <c r="M108" i="6"/>
  <c r="K109" i="6"/>
  <c r="L109" i="6"/>
  <c r="H109" i="6" s="1"/>
  <c r="M109" i="6"/>
  <c r="K110" i="6"/>
  <c r="L110" i="6"/>
  <c r="M110" i="6"/>
  <c r="K111" i="6"/>
  <c r="L111" i="6"/>
  <c r="M111" i="6"/>
  <c r="K112" i="6"/>
  <c r="H112" i="6" s="1"/>
  <c r="L112" i="6"/>
  <c r="M112" i="6"/>
  <c r="K113" i="6"/>
  <c r="L113" i="6"/>
  <c r="H113" i="6" s="1"/>
  <c r="M113" i="6"/>
  <c r="K114" i="6"/>
  <c r="L114" i="6"/>
  <c r="H114" i="6" s="1"/>
  <c r="M114" i="6"/>
  <c r="K115" i="6"/>
  <c r="L115" i="6"/>
  <c r="M115" i="6"/>
  <c r="K116" i="6"/>
  <c r="L116" i="6"/>
  <c r="M116" i="6"/>
  <c r="K117" i="6"/>
  <c r="L117" i="6"/>
  <c r="M117" i="6"/>
  <c r="K118" i="6"/>
  <c r="L118" i="6"/>
  <c r="M118" i="6"/>
  <c r="K119" i="6"/>
  <c r="L119" i="6"/>
  <c r="M119" i="6"/>
  <c r="K120" i="6"/>
  <c r="L120" i="6"/>
  <c r="M120" i="6"/>
  <c r="K121" i="6"/>
  <c r="L121" i="6"/>
  <c r="M121" i="6"/>
  <c r="K122" i="6"/>
  <c r="L122" i="6"/>
  <c r="M122" i="6"/>
  <c r="K123" i="6"/>
  <c r="L123" i="6"/>
  <c r="M123" i="6"/>
  <c r="K124" i="6"/>
  <c r="L124" i="6"/>
  <c r="M124" i="6"/>
  <c r="K125" i="6"/>
  <c r="L125" i="6"/>
  <c r="M125" i="6"/>
  <c r="K126" i="6"/>
  <c r="L126" i="6"/>
  <c r="M126" i="6"/>
  <c r="K127" i="6"/>
  <c r="L127" i="6"/>
  <c r="M127" i="6"/>
  <c r="K128" i="6"/>
  <c r="L128" i="6"/>
  <c r="M128" i="6"/>
  <c r="K129" i="6"/>
  <c r="L129" i="6"/>
  <c r="M129" i="6"/>
  <c r="K130" i="6"/>
  <c r="L130" i="6"/>
  <c r="M130" i="6"/>
  <c r="K131" i="6"/>
  <c r="L131" i="6"/>
  <c r="M131" i="6"/>
  <c r="K132" i="6"/>
  <c r="L132" i="6"/>
  <c r="M132" i="6"/>
  <c r="K133" i="6"/>
  <c r="L133" i="6"/>
  <c r="M133" i="6"/>
  <c r="K134" i="6"/>
  <c r="L134" i="6"/>
  <c r="M134" i="6"/>
  <c r="K135" i="6"/>
  <c r="L135" i="6"/>
  <c r="M135" i="6"/>
  <c r="K136" i="6"/>
  <c r="L136" i="6"/>
  <c r="M136" i="6"/>
  <c r="K137" i="6"/>
  <c r="L137" i="6"/>
  <c r="M137" i="6"/>
  <c r="K138" i="6"/>
  <c r="L138" i="6"/>
  <c r="M138" i="6"/>
  <c r="K139" i="6"/>
  <c r="L139" i="6"/>
  <c r="M139" i="6"/>
  <c r="K140" i="6"/>
  <c r="L140" i="6"/>
  <c r="M140" i="6"/>
  <c r="K141" i="6"/>
  <c r="L141" i="6"/>
  <c r="M141" i="6"/>
  <c r="K142" i="6"/>
  <c r="L142" i="6"/>
  <c r="M142" i="6"/>
  <c r="K143" i="6"/>
  <c r="L143" i="6"/>
  <c r="M143" i="6"/>
  <c r="K144" i="6"/>
  <c r="L144" i="6"/>
  <c r="M144" i="6"/>
  <c r="K145" i="6"/>
  <c r="L145" i="6"/>
  <c r="M145" i="6"/>
  <c r="K146" i="6"/>
  <c r="L146" i="6"/>
  <c r="M146" i="6"/>
  <c r="K147" i="6"/>
  <c r="L147" i="6"/>
  <c r="M147" i="6"/>
  <c r="K148" i="6"/>
  <c r="L148" i="6"/>
  <c r="M148" i="6"/>
  <c r="K149" i="6"/>
  <c r="L149" i="6"/>
  <c r="M149" i="6"/>
  <c r="K150" i="6"/>
  <c r="L150" i="6"/>
  <c r="M150" i="6"/>
  <c r="K151" i="6"/>
  <c r="L151" i="6"/>
  <c r="M151" i="6"/>
  <c r="K152" i="6"/>
  <c r="L152" i="6"/>
  <c r="M152" i="6"/>
  <c r="K153" i="6"/>
  <c r="L153" i="6"/>
  <c r="M153" i="6"/>
  <c r="K154" i="6"/>
  <c r="L154" i="6"/>
  <c r="M154" i="6"/>
  <c r="K155" i="6"/>
  <c r="L155" i="6"/>
  <c r="M155" i="6"/>
  <c r="K156" i="6"/>
  <c r="L156" i="6"/>
  <c r="M156" i="6"/>
  <c r="K157" i="6"/>
  <c r="L157" i="6"/>
  <c r="M157" i="6"/>
  <c r="K158" i="6"/>
  <c r="L158" i="6"/>
  <c r="M158" i="6"/>
  <c r="K159" i="6"/>
  <c r="L159" i="6"/>
  <c r="M159" i="6"/>
  <c r="K160" i="6"/>
  <c r="L160" i="6"/>
  <c r="M160" i="6"/>
  <c r="K161" i="6"/>
  <c r="L161" i="6"/>
  <c r="M161" i="6"/>
  <c r="K162" i="6"/>
  <c r="L162" i="6"/>
  <c r="M162" i="6"/>
  <c r="K163" i="6"/>
  <c r="L163" i="6"/>
  <c r="M163" i="6"/>
  <c r="K164" i="6"/>
  <c r="L164" i="6"/>
  <c r="M164" i="6"/>
  <c r="K165" i="6"/>
  <c r="L165" i="6"/>
  <c r="M165" i="6"/>
  <c r="K166" i="6"/>
  <c r="L166" i="6"/>
  <c r="M166" i="6"/>
  <c r="K167" i="6"/>
  <c r="L167" i="6"/>
  <c r="M167" i="6"/>
  <c r="K168" i="6"/>
  <c r="L168" i="6"/>
  <c r="M168" i="6"/>
  <c r="K169" i="6"/>
  <c r="L169" i="6"/>
  <c r="M169" i="6"/>
  <c r="K170" i="6"/>
  <c r="L170" i="6"/>
  <c r="M170" i="6"/>
  <c r="K171" i="6"/>
  <c r="L171" i="6"/>
  <c r="M171" i="6"/>
  <c r="K172" i="6"/>
  <c r="L172" i="6"/>
  <c r="M172" i="6"/>
  <c r="K173" i="6"/>
  <c r="L173" i="6"/>
  <c r="M173" i="6"/>
  <c r="K174" i="6"/>
  <c r="L174" i="6"/>
  <c r="M174" i="6"/>
  <c r="K175" i="6"/>
  <c r="L175" i="6"/>
  <c r="M175" i="6"/>
  <c r="K176" i="6"/>
  <c r="L176" i="6"/>
  <c r="M176" i="6"/>
  <c r="K177" i="6"/>
  <c r="L177" i="6"/>
  <c r="M177" i="6"/>
  <c r="K178" i="6"/>
  <c r="L178" i="6"/>
  <c r="M178" i="6"/>
  <c r="K179" i="6"/>
  <c r="L179" i="6"/>
  <c r="M179" i="6"/>
  <c r="K180" i="6"/>
  <c r="L180" i="6"/>
  <c r="M180" i="6"/>
  <c r="K181" i="6"/>
  <c r="L181" i="6"/>
  <c r="M181" i="6"/>
  <c r="K182" i="6"/>
  <c r="L182" i="6"/>
  <c r="M182" i="6"/>
  <c r="K183" i="6"/>
  <c r="L183" i="6"/>
  <c r="M183" i="6"/>
  <c r="K184" i="6"/>
  <c r="L184" i="6"/>
  <c r="M184" i="6"/>
  <c r="K185" i="6"/>
  <c r="L185" i="6"/>
  <c r="M185" i="6"/>
  <c r="K186" i="6"/>
  <c r="L186" i="6"/>
  <c r="M186" i="6"/>
  <c r="K187" i="6"/>
  <c r="L187" i="6"/>
  <c r="M187" i="6"/>
  <c r="K188" i="6"/>
  <c r="L188" i="6"/>
  <c r="M188" i="6"/>
  <c r="K189" i="6"/>
  <c r="L189" i="6"/>
  <c r="M189" i="6"/>
  <c r="K190" i="6"/>
  <c r="L190" i="6"/>
  <c r="M190" i="6"/>
  <c r="K191" i="6"/>
  <c r="L191" i="6"/>
  <c r="M191" i="6"/>
  <c r="K192" i="6"/>
  <c r="L192" i="6"/>
  <c r="M192" i="6"/>
  <c r="K193" i="6"/>
  <c r="L193" i="6"/>
  <c r="M193" i="6"/>
  <c r="K194" i="6"/>
  <c r="L194" i="6"/>
  <c r="M194" i="6"/>
  <c r="K195" i="6"/>
  <c r="L195" i="6"/>
  <c r="M195" i="6"/>
  <c r="K196" i="6"/>
  <c r="L196" i="6"/>
  <c r="M196" i="6"/>
  <c r="K197" i="6"/>
  <c r="L197" i="6"/>
  <c r="M197" i="6"/>
  <c r="K198" i="6"/>
  <c r="L198" i="6"/>
  <c r="M198" i="6"/>
  <c r="K199" i="6"/>
  <c r="L199" i="6"/>
  <c r="M199" i="6"/>
  <c r="K200" i="6"/>
  <c r="L200" i="6"/>
  <c r="M200" i="6"/>
  <c r="K201" i="6"/>
  <c r="L201" i="6"/>
  <c r="M201" i="6"/>
  <c r="K202" i="6"/>
  <c r="L202" i="6"/>
  <c r="M202" i="6"/>
  <c r="K203" i="6"/>
  <c r="L203" i="6"/>
  <c r="M203" i="6"/>
  <c r="K204" i="6"/>
  <c r="L204" i="6"/>
  <c r="M204" i="6"/>
  <c r="K205" i="6"/>
  <c r="L205" i="6"/>
  <c r="M205" i="6"/>
  <c r="K206" i="6"/>
  <c r="L206" i="6"/>
  <c r="M206" i="6"/>
  <c r="K207" i="6"/>
  <c r="L207" i="6"/>
  <c r="M207" i="6"/>
  <c r="K208" i="6"/>
  <c r="L208" i="6"/>
  <c r="M208" i="6"/>
  <c r="K209" i="6"/>
  <c r="L209" i="6"/>
  <c r="M209" i="6"/>
  <c r="K210" i="6"/>
  <c r="L210" i="6"/>
  <c r="M210" i="6"/>
  <c r="K211" i="6"/>
  <c r="L211" i="6"/>
  <c r="M211" i="6"/>
  <c r="K212" i="6"/>
  <c r="L212" i="6"/>
  <c r="M212" i="6"/>
  <c r="K213" i="6"/>
  <c r="L213" i="6"/>
  <c r="M213" i="6"/>
  <c r="K214" i="6"/>
  <c r="L214" i="6"/>
  <c r="M214" i="6"/>
  <c r="K215" i="6"/>
  <c r="L215" i="6"/>
  <c r="M215" i="6"/>
  <c r="K216" i="6"/>
  <c r="L216" i="6"/>
  <c r="M216" i="6"/>
  <c r="K217" i="6"/>
  <c r="L217" i="6"/>
  <c r="M217" i="6"/>
  <c r="K218" i="6"/>
  <c r="L218" i="6"/>
  <c r="M218" i="6"/>
  <c r="K219" i="6"/>
  <c r="L219" i="6"/>
  <c r="M219" i="6"/>
  <c r="K220" i="6"/>
  <c r="L220" i="6"/>
  <c r="M220" i="6"/>
  <c r="K221" i="6"/>
  <c r="L221" i="6"/>
  <c r="M221" i="6"/>
  <c r="K222" i="6"/>
  <c r="L222" i="6"/>
  <c r="M222" i="6"/>
  <c r="K223" i="6"/>
  <c r="L223" i="6"/>
  <c r="M223" i="6"/>
  <c r="K224" i="6"/>
  <c r="L224" i="6"/>
  <c r="M224" i="6"/>
  <c r="K225" i="6"/>
  <c r="L225" i="6"/>
  <c r="M225" i="6"/>
  <c r="K226" i="6"/>
  <c r="L226" i="6"/>
  <c r="M226" i="6"/>
  <c r="K227" i="6"/>
  <c r="L227" i="6"/>
  <c r="M227" i="6"/>
  <c r="K228" i="6"/>
  <c r="L228" i="6"/>
  <c r="M228" i="6"/>
  <c r="K229" i="6"/>
  <c r="L229" i="6"/>
  <c r="M229" i="6"/>
  <c r="K230" i="6"/>
  <c r="L230" i="6"/>
  <c r="M230" i="6"/>
  <c r="K231" i="6"/>
  <c r="L231" i="6"/>
  <c r="M231" i="6"/>
  <c r="K232" i="6"/>
  <c r="L232" i="6"/>
  <c r="M232" i="6"/>
  <c r="K233" i="6"/>
  <c r="L233" i="6"/>
  <c r="M233" i="6"/>
  <c r="K234" i="6"/>
  <c r="L234" i="6"/>
  <c r="M234" i="6"/>
  <c r="K235" i="6"/>
  <c r="L235" i="6"/>
  <c r="M235" i="6"/>
  <c r="K236" i="6"/>
  <c r="L236" i="6"/>
  <c r="M236" i="6"/>
  <c r="K237" i="6"/>
  <c r="L237" i="6"/>
  <c r="M237" i="6"/>
  <c r="K238" i="6"/>
  <c r="L238" i="6"/>
  <c r="M238" i="6"/>
  <c r="K239" i="6"/>
  <c r="L239" i="6"/>
  <c r="M239" i="6"/>
  <c r="K240" i="6"/>
  <c r="L240" i="6"/>
  <c r="M240" i="6"/>
  <c r="K241" i="6"/>
  <c r="L241" i="6"/>
  <c r="M241" i="6"/>
  <c r="K242" i="6"/>
  <c r="L242" i="6"/>
  <c r="M242" i="6"/>
  <c r="K243" i="6"/>
  <c r="L243" i="6"/>
  <c r="M243" i="6"/>
  <c r="K244" i="6"/>
  <c r="L244" i="6"/>
  <c r="M244" i="6"/>
  <c r="K245" i="6"/>
  <c r="L245" i="6"/>
  <c r="M245" i="6"/>
  <c r="K246" i="6"/>
  <c r="L246" i="6"/>
  <c r="M246" i="6"/>
  <c r="K247" i="6"/>
  <c r="L247" i="6"/>
  <c r="M247" i="6"/>
  <c r="K248" i="6"/>
  <c r="L248" i="6"/>
  <c r="M248" i="6"/>
  <c r="K249" i="6"/>
  <c r="L249" i="6"/>
  <c r="M249" i="6"/>
  <c r="K250" i="6"/>
  <c r="L250" i="6"/>
  <c r="M250" i="6"/>
  <c r="K251" i="6"/>
  <c r="L251" i="6"/>
  <c r="M251" i="6"/>
  <c r="K252" i="6"/>
  <c r="L252" i="6"/>
  <c r="M252" i="6"/>
  <c r="K253" i="6"/>
  <c r="L253" i="6"/>
  <c r="M253" i="6"/>
  <c r="K254" i="6"/>
  <c r="L254" i="6"/>
  <c r="M254" i="6"/>
  <c r="K255" i="6"/>
  <c r="L255" i="6"/>
  <c r="M255" i="6"/>
  <c r="K256" i="6"/>
  <c r="L256" i="6"/>
  <c r="M256" i="6"/>
  <c r="K257" i="6"/>
  <c r="L257" i="6"/>
  <c r="M257" i="6"/>
  <c r="K258" i="6"/>
  <c r="L258" i="6"/>
  <c r="M258" i="6"/>
  <c r="K259" i="6"/>
  <c r="L259" i="6"/>
  <c r="M259" i="6"/>
  <c r="K260" i="6"/>
  <c r="L260" i="6"/>
  <c r="M260" i="6"/>
  <c r="K261" i="6"/>
  <c r="L261" i="6"/>
  <c r="M261" i="6"/>
  <c r="K262" i="6"/>
  <c r="L262" i="6"/>
  <c r="M262" i="6"/>
  <c r="K263" i="6"/>
  <c r="L263" i="6"/>
  <c r="M263" i="6"/>
  <c r="K264" i="6"/>
  <c r="L264" i="6"/>
  <c r="M264" i="6"/>
  <c r="K265" i="6"/>
  <c r="L265" i="6"/>
  <c r="M265" i="6"/>
  <c r="K266" i="6"/>
  <c r="L266" i="6"/>
  <c r="M266" i="6"/>
  <c r="K267" i="6"/>
  <c r="L267" i="6"/>
  <c r="M267" i="6"/>
  <c r="K268" i="6"/>
  <c r="L268" i="6"/>
  <c r="M268" i="6"/>
  <c r="K269" i="6"/>
  <c r="L269" i="6"/>
  <c r="M269" i="6"/>
  <c r="K270" i="6"/>
  <c r="L270" i="6"/>
  <c r="M270" i="6"/>
  <c r="K271" i="6"/>
  <c r="L271" i="6"/>
  <c r="M271" i="6"/>
  <c r="K272" i="6"/>
  <c r="L272" i="6"/>
  <c r="M272" i="6"/>
  <c r="K273" i="6"/>
  <c r="L273" i="6"/>
  <c r="M273" i="6"/>
  <c r="K274" i="6"/>
  <c r="L274" i="6"/>
  <c r="M274" i="6"/>
  <c r="K275" i="6"/>
  <c r="L275" i="6"/>
  <c r="M275" i="6"/>
  <c r="K276" i="6"/>
  <c r="L276" i="6"/>
  <c r="M276" i="6"/>
  <c r="K277" i="6"/>
  <c r="L277" i="6"/>
  <c r="M277" i="6"/>
  <c r="K278" i="6"/>
  <c r="L278" i="6"/>
  <c r="M278" i="6"/>
  <c r="K279" i="6"/>
  <c r="L279" i="6"/>
  <c r="M279" i="6"/>
  <c r="K280" i="6"/>
  <c r="L280" i="6"/>
  <c r="M280" i="6"/>
  <c r="K281" i="6"/>
  <c r="L281" i="6"/>
  <c r="M281" i="6"/>
  <c r="K282" i="6"/>
  <c r="L282" i="6"/>
  <c r="M282" i="6"/>
  <c r="K283" i="6"/>
  <c r="L283" i="6"/>
  <c r="M283" i="6"/>
  <c r="K284" i="6"/>
  <c r="L284" i="6"/>
  <c r="M284" i="6"/>
  <c r="K285" i="6"/>
  <c r="L285" i="6"/>
  <c r="M285" i="6"/>
  <c r="K286" i="6"/>
  <c r="L286" i="6"/>
  <c r="M286" i="6"/>
  <c r="K287" i="6"/>
  <c r="L287" i="6"/>
  <c r="M287" i="6"/>
  <c r="K288" i="6"/>
  <c r="L288" i="6"/>
  <c r="M288" i="6"/>
  <c r="K289" i="6"/>
  <c r="L289" i="6"/>
  <c r="M289" i="6"/>
  <c r="K290" i="6"/>
  <c r="L290" i="6"/>
  <c r="M290" i="6"/>
  <c r="K291" i="6"/>
  <c r="L291" i="6"/>
  <c r="M291" i="6"/>
  <c r="K292" i="6"/>
  <c r="L292" i="6"/>
  <c r="M292" i="6"/>
  <c r="K293" i="6"/>
  <c r="L293" i="6"/>
  <c r="M293" i="6"/>
  <c r="K294" i="6"/>
  <c r="L294" i="6"/>
  <c r="M294" i="6"/>
  <c r="K295" i="6"/>
  <c r="L295" i="6"/>
  <c r="M295" i="6"/>
  <c r="K296" i="6"/>
  <c r="L296" i="6"/>
  <c r="M296" i="6"/>
  <c r="K297" i="6"/>
  <c r="L297" i="6"/>
  <c r="M297" i="6"/>
  <c r="K298" i="6"/>
  <c r="L298" i="6"/>
  <c r="M298" i="6"/>
  <c r="K299" i="6"/>
  <c r="L299" i="6"/>
  <c r="M299" i="6"/>
  <c r="K300" i="6"/>
  <c r="L300" i="6"/>
  <c r="M300" i="6"/>
  <c r="K301" i="6"/>
  <c r="L301" i="6"/>
  <c r="M301" i="6"/>
  <c r="K302" i="6"/>
  <c r="L302" i="6"/>
  <c r="M302" i="6"/>
  <c r="K303" i="6"/>
  <c r="L303" i="6"/>
  <c r="M303" i="6"/>
  <c r="K304" i="6"/>
  <c r="L304" i="6"/>
  <c r="M304" i="6"/>
  <c r="K305" i="6"/>
  <c r="L305" i="6"/>
  <c r="M305" i="6"/>
  <c r="K306" i="6"/>
  <c r="L306" i="6"/>
  <c r="M306" i="6"/>
  <c r="K307" i="6"/>
  <c r="L307" i="6"/>
  <c r="M307" i="6"/>
  <c r="K308" i="6"/>
  <c r="L308" i="6"/>
  <c r="M308" i="6"/>
  <c r="K309" i="6"/>
  <c r="L309" i="6"/>
  <c r="M309" i="6"/>
  <c r="K310" i="6"/>
  <c r="L310" i="6"/>
  <c r="M310" i="6"/>
  <c r="K311" i="6"/>
  <c r="L311" i="6"/>
  <c r="M311" i="6"/>
  <c r="K312" i="6"/>
  <c r="L312" i="6"/>
  <c r="M312" i="6"/>
  <c r="K313" i="6"/>
  <c r="L313" i="6"/>
  <c r="M313" i="6"/>
  <c r="K314" i="6"/>
  <c r="L314" i="6"/>
  <c r="M314" i="6"/>
  <c r="K315" i="6"/>
  <c r="L315" i="6"/>
  <c r="M315" i="6"/>
  <c r="K316" i="6"/>
  <c r="L316" i="6"/>
  <c r="M316" i="6"/>
  <c r="K317" i="6"/>
  <c r="L317" i="6"/>
  <c r="M317" i="6"/>
  <c r="K318" i="6"/>
  <c r="L318" i="6"/>
  <c r="M318" i="6"/>
  <c r="K319" i="6"/>
  <c r="L319" i="6"/>
  <c r="M319" i="6"/>
  <c r="K320" i="6"/>
  <c r="L320" i="6"/>
  <c r="M320" i="6"/>
  <c r="K321" i="6"/>
  <c r="L321" i="6"/>
  <c r="M321" i="6"/>
  <c r="K322" i="6"/>
  <c r="L322" i="6"/>
  <c r="M322" i="6"/>
  <c r="K323" i="6"/>
  <c r="L323" i="6"/>
  <c r="M323" i="6"/>
  <c r="K324" i="6"/>
  <c r="L324" i="6"/>
  <c r="M324" i="6"/>
  <c r="K325" i="6"/>
  <c r="L325" i="6"/>
  <c r="M325" i="6"/>
  <c r="K326" i="6"/>
  <c r="L326" i="6"/>
  <c r="M326" i="6"/>
  <c r="K327" i="6"/>
  <c r="L327" i="6"/>
  <c r="M327" i="6"/>
  <c r="K328" i="6"/>
  <c r="L328" i="6"/>
  <c r="M328" i="6"/>
  <c r="K329" i="6"/>
  <c r="L329" i="6"/>
  <c r="M329" i="6"/>
  <c r="K330" i="6"/>
  <c r="L330" i="6"/>
  <c r="M330" i="6"/>
  <c r="K331" i="6"/>
  <c r="L331" i="6"/>
  <c r="M331" i="6"/>
  <c r="K332" i="6"/>
  <c r="L332" i="6"/>
  <c r="M332" i="6"/>
  <c r="K333" i="6"/>
  <c r="L333" i="6"/>
  <c r="M333" i="6"/>
  <c r="K334" i="6"/>
  <c r="L334" i="6"/>
  <c r="M334" i="6"/>
  <c r="K335" i="6"/>
  <c r="L335" i="6"/>
  <c r="M335" i="6"/>
  <c r="K336" i="6"/>
  <c r="L336" i="6"/>
  <c r="M336" i="6"/>
  <c r="K337" i="6"/>
  <c r="L337" i="6"/>
  <c r="M337" i="6"/>
  <c r="K338" i="6"/>
  <c r="L338" i="6"/>
  <c r="M338" i="6"/>
  <c r="K339" i="6"/>
  <c r="L339" i="6"/>
  <c r="M339" i="6"/>
  <c r="K340" i="6"/>
  <c r="L340" i="6"/>
  <c r="M340" i="6"/>
  <c r="K341" i="6"/>
  <c r="L341" i="6"/>
  <c r="M341" i="6"/>
  <c r="K342" i="6"/>
  <c r="L342" i="6"/>
  <c r="M342" i="6"/>
  <c r="K343" i="6"/>
  <c r="L343" i="6"/>
  <c r="M343" i="6"/>
  <c r="K344" i="6"/>
  <c r="L344" i="6"/>
  <c r="M344" i="6"/>
  <c r="K345" i="6"/>
  <c r="L345" i="6"/>
  <c r="M345" i="6"/>
  <c r="K346" i="6"/>
  <c r="L346" i="6"/>
  <c r="M346" i="6"/>
  <c r="K347" i="6"/>
  <c r="L347" i="6"/>
  <c r="M347" i="6"/>
  <c r="K348" i="6"/>
  <c r="L348" i="6"/>
  <c r="M348" i="6"/>
  <c r="K349" i="6"/>
  <c r="L349" i="6"/>
  <c r="M349" i="6"/>
  <c r="K350" i="6"/>
  <c r="L350" i="6"/>
  <c r="M350" i="6"/>
  <c r="K351" i="6"/>
  <c r="L351" i="6"/>
  <c r="M351" i="6"/>
  <c r="K352" i="6"/>
  <c r="L352" i="6"/>
  <c r="M352" i="6"/>
  <c r="K353" i="6"/>
  <c r="L353" i="6"/>
  <c r="M353" i="6"/>
  <c r="K354" i="6"/>
  <c r="L354" i="6"/>
  <c r="M354" i="6"/>
  <c r="K355" i="6"/>
  <c r="L355" i="6"/>
  <c r="M355" i="6"/>
  <c r="K356" i="6"/>
  <c r="L356" i="6"/>
  <c r="M356" i="6"/>
  <c r="K357" i="6"/>
  <c r="L357" i="6"/>
  <c r="M357" i="6"/>
  <c r="K358" i="6"/>
  <c r="L358" i="6"/>
  <c r="M358" i="6"/>
  <c r="K359" i="6"/>
  <c r="L359" i="6"/>
  <c r="M359" i="6"/>
  <c r="K360" i="6"/>
  <c r="L360" i="6"/>
  <c r="M360" i="6"/>
  <c r="K361" i="6"/>
  <c r="L361" i="6"/>
  <c r="M361" i="6"/>
  <c r="K362" i="6"/>
  <c r="L362" i="6"/>
  <c r="M362" i="6"/>
  <c r="K363" i="6"/>
  <c r="L363" i="6"/>
  <c r="M363" i="6"/>
  <c r="K364" i="6"/>
  <c r="L364" i="6"/>
  <c r="M364" i="6"/>
  <c r="K365" i="6"/>
  <c r="L365" i="6"/>
  <c r="M365" i="6"/>
  <c r="K366" i="6"/>
  <c r="L366" i="6"/>
  <c r="M366" i="6"/>
  <c r="K367" i="6"/>
  <c r="L367" i="6"/>
  <c r="M367" i="6"/>
  <c r="K368" i="6"/>
  <c r="L368" i="6"/>
  <c r="M368" i="6"/>
  <c r="K369" i="6"/>
  <c r="L369" i="6"/>
  <c r="M369" i="6"/>
  <c r="K370" i="6"/>
  <c r="L370" i="6"/>
  <c r="M370" i="6"/>
  <c r="K371" i="6"/>
  <c r="L371" i="6"/>
  <c r="M371" i="6"/>
  <c r="K372" i="6"/>
  <c r="L372" i="6"/>
  <c r="M372" i="6"/>
  <c r="K373" i="6"/>
  <c r="L373" i="6"/>
  <c r="M373" i="6"/>
  <c r="K374" i="6"/>
  <c r="L374" i="6"/>
  <c r="M374" i="6"/>
  <c r="K375" i="6"/>
  <c r="L375" i="6"/>
  <c r="M375" i="6"/>
  <c r="K376" i="6"/>
  <c r="L376" i="6"/>
  <c r="M376" i="6"/>
  <c r="K377" i="6"/>
  <c r="L377" i="6"/>
  <c r="M377" i="6"/>
  <c r="K378" i="6"/>
  <c r="L378" i="6"/>
  <c r="M378" i="6"/>
  <c r="K379" i="6"/>
  <c r="L379" i="6"/>
  <c r="M379" i="6"/>
  <c r="K380" i="6"/>
  <c r="L380" i="6"/>
  <c r="M380" i="6"/>
  <c r="K381" i="6"/>
  <c r="L381" i="6"/>
  <c r="M381" i="6"/>
  <c r="K382" i="6"/>
  <c r="L382" i="6"/>
  <c r="M382" i="6"/>
  <c r="K383" i="6"/>
  <c r="L383" i="6"/>
  <c r="M383" i="6"/>
  <c r="K384" i="6"/>
  <c r="L384" i="6"/>
  <c r="M384" i="6"/>
  <c r="K385" i="6"/>
  <c r="L385" i="6"/>
  <c r="M385" i="6"/>
  <c r="K386" i="6"/>
  <c r="L386" i="6"/>
  <c r="M386" i="6"/>
  <c r="K387" i="6"/>
  <c r="L387" i="6"/>
  <c r="M387" i="6"/>
  <c r="K388" i="6"/>
  <c r="L388" i="6"/>
  <c r="M388" i="6"/>
  <c r="K389" i="6"/>
  <c r="L389" i="6"/>
  <c r="M389" i="6"/>
  <c r="K390" i="6"/>
  <c r="L390" i="6"/>
  <c r="M390" i="6"/>
  <c r="K391" i="6"/>
  <c r="L391" i="6"/>
  <c r="M391" i="6"/>
  <c r="K392" i="6"/>
  <c r="L392" i="6"/>
  <c r="M392" i="6"/>
  <c r="K393" i="6"/>
  <c r="L393" i="6"/>
  <c r="M393" i="6"/>
  <c r="K394" i="6"/>
  <c r="L394" i="6"/>
  <c r="M394" i="6"/>
  <c r="K395" i="6"/>
  <c r="L395" i="6"/>
  <c r="M395" i="6"/>
  <c r="K396" i="6"/>
  <c r="L396" i="6"/>
  <c r="M396" i="6"/>
  <c r="K397" i="6"/>
  <c r="L397" i="6"/>
  <c r="M397" i="6"/>
  <c r="K398" i="6"/>
  <c r="L398" i="6"/>
  <c r="M398" i="6"/>
  <c r="K399" i="6"/>
  <c r="L399" i="6"/>
  <c r="M399" i="6"/>
  <c r="K400" i="6"/>
  <c r="L400" i="6"/>
  <c r="M400" i="6"/>
  <c r="K401" i="6"/>
  <c r="L401" i="6"/>
  <c r="M401" i="6"/>
  <c r="K402" i="6"/>
  <c r="L402" i="6"/>
  <c r="M402" i="6"/>
  <c r="K403" i="6"/>
  <c r="L403" i="6"/>
  <c r="M403" i="6"/>
  <c r="K404" i="6"/>
  <c r="L404" i="6"/>
  <c r="M404" i="6"/>
  <c r="K405" i="6"/>
  <c r="L405" i="6"/>
  <c r="M405" i="6"/>
  <c r="K406" i="6"/>
  <c r="L406" i="6"/>
  <c r="M406" i="6"/>
  <c r="K407" i="6"/>
  <c r="L407" i="6"/>
  <c r="M407" i="6"/>
  <c r="K408" i="6"/>
  <c r="L408" i="6"/>
  <c r="M408" i="6"/>
  <c r="K409" i="6"/>
  <c r="L409" i="6"/>
  <c r="M409" i="6"/>
  <c r="K410" i="6"/>
  <c r="L410" i="6"/>
  <c r="M410" i="6"/>
  <c r="K411" i="6"/>
  <c r="L411" i="6"/>
  <c r="M411" i="6"/>
  <c r="K412" i="6"/>
  <c r="L412" i="6"/>
  <c r="M412" i="6"/>
  <c r="K413" i="6"/>
  <c r="L413" i="6"/>
  <c r="M413" i="6"/>
  <c r="K414" i="6"/>
  <c r="L414" i="6"/>
  <c r="M414" i="6"/>
  <c r="K415" i="6"/>
  <c r="L415" i="6"/>
  <c r="M415" i="6"/>
  <c r="K416" i="6"/>
  <c r="L416" i="6"/>
  <c r="M416" i="6"/>
  <c r="K417" i="6"/>
  <c r="L417" i="6"/>
  <c r="M417" i="6"/>
  <c r="K418" i="6"/>
  <c r="L418" i="6"/>
  <c r="M418" i="6"/>
  <c r="K419" i="6"/>
  <c r="L419" i="6"/>
  <c r="M419" i="6"/>
  <c r="K420" i="6"/>
  <c r="L420" i="6"/>
  <c r="M420" i="6"/>
  <c r="K421" i="6"/>
  <c r="L421" i="6"/>
  <c r="M421" i="6"/>
  <c r="K422" i="6"/>
  <c r="L422" i="6"/>
  <c r="M422" i="6"/>
  <c r="K423" i="6"/>
  <c r="L423" i="6"/>
  <c r="M423" i="6"/>
  <c r="H423" i="6" s="1"/>
  <c r="K424" i="6"/>
  <c r="L424" i="6"/>
  <c r="M424" i="6"/>
  <c r="K425" i="6"/>
  <c r="L425" i="6"/>
  <c r="M425" i="6"/>
  <c r="K426" i="6"/>
  <c r="L426" i="6"/>
  <c r="M426" i="6"/>
  <c r="K427" i="6"/>
  <c r="L427" i="6"/>
  <c r="M427" i="6"/>
  <c r="H427" i="6" s="1"/>
  <c r="K428" i="6"/>
  <c r="L428" i="6"/>
  <c r="M428" i="6"/>
  <c r="K429" i="6"/>
  <c r="L429" i="6"/>
  <c r="M429" i="6"/>
  <c r="K430" i="6"/>
  <c r="L430" i="6"/>
  <c r="M430" i="6"/>
  <c r="K431" i="6"/>
  <c r="L431" i="6"/>
  <c r="M431" i="6"/>
  <c r="K432" i="6"/>
  <c r="L432" i="6"/>
  <c r="M432" i="6"/>
  <c r="K433" i="6"/>
  <c r="L433" i="6"/>
  <c r="M433" i="6"/>
  <c r="K434" i="6"/>
  <c r="L434" i="6"/>
  <c r="M434" i="6"/>
  <c r="K435" i="6"/>
  <c r="L435" i="6"/>
  <c r="M435" i="6"/>
  <c r="K436" i="6"/>
  <c r="L436" i="6"/>
  <c r="M436" i="6"/>
  <c r="K437" i="6"/>
  <c r="L437" i="6"/>
  <c r="M437" i="6"/>
  <c r="K438" i="6"/>
  <c r="L438" i="6"/>
  <c r="M438" i="6"/>
  <c r="K439" i="6"/>
  <c r="L439" i="6"/>
  <c r="M439" i="6"/>
  <c r="H439" i="6" s="1"/>
  <c r="K440" i="6"/>
  <c r="L440" i="6"/>
  <c r="M440" i="6"/>
  <c r="K441" i="6"/>
  <c r="L441" i="6"/>
  <c r="M441" i="6"/>
  <c r="K442" i="6"/>
  <c r="L442" i="6"/>
  <c r="M442" i="6"/>
  <c r="K443" i="6"/>
  <c r="L443" i="6"/>
  <c r="M443" i="6"/>
  <c r="H443" i="6" s="1"/>
  <c r="K444" i="6"/>
  <c r="L444" i="6"/>
  <c r="M444" i="6"/>
  <c r="K445" i="6"/>
  <c r="H445" i="6" s="1"/>
  <c r="L445" i="6"/>
  <c r="M445" i="6"/>
  <c r="K446" i="6"/>
  <c r="L446" i="6"/>
  <c r="M446" i="6"/>
  <c r="K447" i="6"/>
  <c r="L447" i="6"/>
  <c r="M447" i="6"/>
  <c r="H447" i="6" s="1"/>
  <c r="K448" i="6"/>
  <c r="L448" i="6"/>
  <c r="M448" i="6"/>
  <c r="K449" i="6"/>
  <c r="L449" i="6"/>
  <c r="M449" i="6"/>
  <c r="K450" i="6"/>
  <c r="L450" i="6"/>
  <c r="M450" i="6"/>
  <c r="K451" i="6"/>
  <c r="L451" i="6"/>
  <c r="M451" i="6"/>
  <c r="K452" i="6"/>
  <c r="L452" i="6"/>
  <c r="M452" i="6"/>
  <c r="K453" i="6"/>
  <c r="L453" i="6"/>
  <c r="M453" i="6"/>
  <c r="K454" i="6"/>
  <c r="L454" i="6"/>
  <c r="M454" i="6"/>
  <c r="K455" i="6"/>
  <c r="L455" i="6"/>
  <c r="M455" i="6"/>
  <c r="K456" i="6"/>
  <c r="L456" i="6"/>
  <c r="M456" i="6"/>
  <c r="K457" i="6"/>
  <c r="L457" i="6"/>
  <c r="M457" i="6"/>
  <c r="K458" i="6"/>
  <c r="L458" i="6"/>
  <c r="M458" i="6"/>
  <c r="K459" i="6"/>
  <c r="L459" i="6"/>
  <c r="M459" i="6"/>
  <c r="H459" i="6" s="1"/>
  <c r="K460" i="6"/>
  <c r="L460" i="6"/>
  <c r="M460" i="6"/>
  <c r="K461" i="6"/>
  <c r="H461" i="6" s="1"/>
  <c r="L461" i="6"/>
  <c r="M461" i="6"/>
  <c r="K462" i="6"/>
  <c r="L462" i="6"/>
  <c r="M462" i="6"/>
  <c r="K463" i="6"/>
  <c r="L463" i="6"/>
  <c r="M463" i="6"/>
  <c r="H463" i="6" s="1"/>
  <c r="K464" i="6"/>
  <c r="L464" i="6"/>
  <c r="M464" i="6"/>
  <c r="K465" i="6"/>
  <c r="L465" i="6"/>
  <c r="M465" i="6"/>
  <c r="K466" i="6"/>
  <c r="L466" i="6"/>
  <c r="M466" i="6"/>
  <c r="K467" i="6"/>
  <c r="L467" i="6"/>
  <c r="M467" i="6"/>
  <c r="K468" i="6"/>
  <c r="L468" i="6"/>
  <c r="M468" i="6"/>
  <c r="K469" i="6"/>
  <c r="L469" i="6"/>
  <c r="M469" i="6"/>
  <c r="K470" i="6"/>
  <c r="H470" i="6"/>
  <c r="L470" i="6"/>
  <c r="M470" i="6"/>
  <c r="K471" i="6"/>
  <c r="L471" i="6"/>
  <c r="H471" i="6" s="1"/>
  <c r="M471" i="6"/>
  <c r="K472" i="6"/>
  <c r="L472" i="6"/>
  <c r="M472" i="6"/>
  <c r="K473" i="6"/>
  <c r="L473" i="6"/>
  <c r="M473" i="6"/>
  <c r="K474" i="6"/>
  <c r="H474" i="6" s="1"/>
  <c r="L474" i="6"/>
  <c r="M474" i="6"/>
  <c r="K475" i="6"/>
  <c r="L475" i="6"/>
  <c r="H475" i="6" s="1"/>
  <c r="M475" i="6"/>
  <c r="K476" i="6"/>
  <c r="L476" i="6"/>
  <c r="M476" i="6"/>
  <c r="K477" i="6"/>
  <c r="L477" i="6"/>
  <c r="M477" i="6"/>
  <c r="K478" i="6"/>
  <c r="L478" i="6"/>
  <c r="M478" i="6"/>
  <c r="K479" i="6"/>
  <c r="L479" i="6"/>
  <c r="H479" i="6" s="1"/>
  <c r="M479" i="6"/>
  <c r="K480" i="6"/>
  <c r="L480" i="6"/>
  <c r="M480" i="6"/>
  <c r="K481" i="6"/>
  <c r="L481" i="6"/>
  <c r="M481" i="6"/>
  <c r="K482" i="6"/>
  <c r="L482" i="6"/>
  <c r="M482" i="6"/>
  <c r="K483" i="6"/>
  <c r="L483" i="6"/>
  <c r="H483" i="6" s="1"/>
  <c r="M483" i="6"/>
  <c r="K484" i="6"/>
  <c r="L484" i="6"/>
  <c r="M484" i="6"/>
  <c r="K485" i="6"/>
  <c r="L485" i="6"/>
  <c r="M485" i="6"/>
  <c r="K486" i="6"/>
  <c r="H486" i="6" s="1"/>
  <c r="L486" i="6"/>
  <c r="M486" i="6"/>
  <c r="K487" i="6"/>
  <c r="L487" i="6"/>
  <c r="H487" i="6" s="1"/>
  <c r="M487" i="6"/>
  <c r="K488" i="6"/>
  <c r="L488" i="6"/>
  <c r="M488" i="6"/>
  <c r="K489" i="6"/>
  <c r="L489" i="6"/>
  <c r="M489" i="6"/>
  <c r="K490" i="6"/>
  <c r="L490" i="6"/>
  <c r="M490" i="6"/>
  <c r="K491" i="6"/>
  <c r="L491" i="6"/>
  <c r="H491" i="6" s="1"/>
  <c r="M491" i="6"/>
  <c r="K492" i="6"/>
  <c r="L492" i="6"/>
  <c r="M492" i="6"/>
  <c r="K493" i="6"/>
  <c r="L493" i="6"/>
  <c r="M493" i="6"/>
  <c r="K494" i="6"/>
  <c r="L494" i="6"/>
  <c r="M494" i="6"/>
  <c r="K495" i="6"/>
  <c r="L495" i="6"/>
  <c r="M495" i="6"/>
  <c r="K496" i="6"/>
  <c r="L496" i="6"/>
  <c r="M496" i="6"/>
  <c r="K497" i="6"/>
  <c r="L497" i="6"/>
  <c r="M497" i="6"/>
  <c r="K498" i="6"/>
  <c r="L498" i="6"/>
  <c r="M498" i="6"/>
  <c r="K499" i="6"/>
  <c r="L499" i="6"/>
  <c r="H499" i="6" s="1"/>
  <c r="M499" i="6"/>
  <c r="K500" i="6"/>
  <c r="L500" i="6"/>
  <c r="M500" i="6"/>
  <c r="K501" i="6"/>
  <c r="L501" i="6"/>
  <c r="M501" i="6"/>
  <c r="K502" i="6"/>
  <c r="H502" i="6" s="1"/>
  <c r="L502" i="6"/>
  <c r="M502" i="6"/>
  <c r="K503" i="6"/>
  <c r="L503" i="6"/>
  <c r="H503" i="6" s="1"/>
  <c r="M503" i="6"/>
  <c r="K504" i="6"/>
  <c r="L504" i="6"/>
  <c r="M504" i="6"/>
  <c r="K505" i="6"/>
  <c r="L505" i="6"/>
  <c r="M505" i="6"/>
  <c r="K506" i="6"/>
  <c r="H506" i="6" s="1"/>
  <c r="L506" i="6"/>
  <c r="M506" i="6"/>
  <c r="K507" i="6"/>
  <c r="L507" i="6"/>
  <c r="H507" i="6" s="1"/>
  <c r="M507" i="6"/>
  <c r="K508" i="6"/>
  <c r="L508" i="6"/>
  <c r="M508" i="6"/>
  <c r="K509" i="6"/>
  <c r="L509" i="6"/>
  <c r="M509" i="6"/>
  <c r="K510" i="6"/>
  <c r="L510" i="6"/>
  <c r="M510" i="6"/>
  <c r="K511" i="6"/>
  <c r="L511" i="6"/>
  <c r="H511" i="6" s="1"/>
  <c r="M511" i="6"/>
  <c r="K512" i="6"/>
  <c r="L512" i="6"/>
  <c r="M512" i="6"/>
  <c r="K513" i="6"/>
  <c r="L513" i="6"/>
  <c r="M513" i="6"/>
  <c r="K514" i="6"/>
  <c r="L514" i="6"/>
  <c r="M514" i="6"/>
  <c r="K515" i="6"/>
  <c r="L515" i="6"/>
  <c r="M515" i="6"/>
  <c r="K516" i="6"/>
  <c r="L516" i="6"/>
  <c r="M516" i="6"/>
  <c r="K517" i="6"/>
  <c r="L517" i="6"/>
  <c r="M517" i="6"/>
  <c r="K518" i="6"/>
  <c r="L518" i="6"/>
  <c r="M518" i="6"/>
  <c r="K519" i="6"/>
  <c r="L519" i="6"/>
  <c r="M519" i="6"/>
  <c r="K520" i="6"/>
  <c r="L520" i="6"/>
  <c r="M520" i="6"/>
  <c r="K521" i="6"/>
  <c r="L521" i="6"/>
  <c r="M521" i="6"/>
  <c r="K522" i="6"/>
  <c r="L522" i="6"/>
  <c r="M522" i="6"/>
  <c r="K523" i="6"/>
  <c r="L523" i="6"/>
  <c r="M523" i="6"/>
  <c r="K524" i="6"/>
  <c r="L524" i="6"/>
  <c r="M524" i="6"/>
  <c r="K525" i="6"/>
  <c r="L525" i="6"/>
  <c r="M525" i="6"/>
  <c r="K526" i="6"/>
  <c r="L526" i="6"/>
  <c r="M526" i="6"/>
  <c r="K527" i="6"/>
  <c r="L527" i="6"/>
  <c r="M527" i="6"/>
  <c r="K528" i="6"/>
  <c r="L528" i="6"/>
  <c r="M528" i="6"/>
  <c r="K529" i="6"/>
  <c r="L529" i="6"/>
  <c r="M529" i="6"/>
  <c r="K530" i="6"/>
  <c r="L530" i="6"/>
  <c r="M530" i="6"/>
  <c r="K531" i="6"/>
  <c r="L531" i="6"/>
  <c r="M531" i="6"/>
  <c r="K532" i="6"/>
  <c r="L532" i="6"/>
  <c r="M532" i="6"/>
  <c r="K533" i="6"/>
  <c r="L533" i="6"/>
  <c r="M533" i="6"/>
  <c r="K534" i="6"/>
  <c r="L534" i="6"/>
  <c r="M534" i="6"/>
  <c r="K535" i="6"/>
  <c r="L535" i="6"/>
  <c r="H535" i="6" s="1"/>
  <c r="M535" i="6"/>
  <c r="K536" i="6"/>
  <c r="L536" i="6"/>
  <c r="M536" i="6"/>
  <c r="K537" i="6"/>
  <c r="L537" i="6"/>
  <c r="M537" i="6"/>
  <c r="K538" i="6"/>
  <c r="L538" i="6"/>
  <c r="M538" i="6"/>
  <c r="K539" i="6"/>
  <c r="L539" i="6"/>
  <c r="M539" i="6"/>
  <c r="K540" i="6"/>
  <c r="L540" i="6"/>
  <c r="M540" i="6"/>
  <c r="K541" i="6"/>
  <c r="L541" i="6"/>
  <c r="M541" i="6"/>
  <c r="K542" i="6"/>
  <c r="L542" i="6"/>
  <c r="M542" i="6"/>
  <c r="K543" i="6"/>
  <c r="L543" i="6"/>
  <c r="M543" i="6"/>
  <c r="K544" i="6"/>
  <c r="L544" i="6"/>
  <c r="M544" i="6"/>
  <c r="K545" i="6"/>
  <c r="L545" i="6"/>
  <c r="M545" i="6"/>
  <c r="K546" i="6"/>
  <c r="L546" i="6"/>
  <c r="M546" i="6"/>
  <c r="K547" i="6"/>
  <c r="L547" i="6"/>
  <c r="M547" i="6"/>
  <c r="K548" i="6"/>
  <c r="L548" i="6"/>
  <c r="M548" i="6"/>
  <c r="K549" i="6"/>
  <c r="L549" i="6"/>
  <c r="M549" i="6"/>
  <c r="K550" i="6"/>
  <c r="L550" i="6"/>
  <c r="M550" i="6"/>
  <c r="K551" i="6"/>
  <c r="L551" i="6"/>
  <c r="M551" i="6"/>
  <c r="K552" i="6"/>
  <c r="L552" i="6"/>
  <c r="M552" i="6"/>
  <c r="K553" i="6"/>
  <c r="L553" i="6"/>
  <c r="M553" i="6"/>
  <c r="K554" i="6"/>
  <c r="L554" i="6"/>
  <c r="M554" i="6"/>
  <c r="K555" i="6"/>
  <c r="L555" i="6"/>
  <c r="H555" i="6" s="1"/>
  <c r="M555" i="6"/>
  <c r="K556" i="6"/>
  <c r="L556" i="6"/>
  <c r="M556" i="6"/>
  <c r="H556" i="6" s="1"/>
  <c r="K557" i="6"/>
  <c r="L557" i="6"/>
  <c r="M557" i="6"/>
  <c r="K558" i="6"/>
  <c r="L558" i="6"/>
  <c r="M558" i="6"/>
  <c r="K559" i="6"/>
  <c r="L559" i="6"/>
  <c r="M559" i="6"/>
  <c r="K560" i="6"/>
  <c r="L560" i="6"/>
  <c r="M560" i="6"/>
  <c r="K561" i="6"/>
  <c r="L561" i="6"/>
  <c r="M561" i="6"/>
  <c r="K562" i="6"/>
  <c r="L562" i="6"/>
  <c r="M562" i="6"/>
  <c r="K563" i="6"/>
  <c r="L563" i="6"/>
  <c r="M563" i="6"/>
  <c r="K564" i="6"/>
  <c r="L564" i="6"/>
  <c r="M564" i="6"/>
  <c r="K565" i="6"/>
  <c r="L565" i="6"/>
  <c r="M565" i="6"/>
  <c r="K566" i="6"/>
  <c r="L566" i="6"/>
  <c r="M566" i="6"/>
  <c r="K567" i="6"/>
  <c r="L567" i="6"/>
  <c r="M567" i="6"/>
  <c r="K568" i="6"/>
  <c r="L568" i="6"/>
  <c r="M568" i="6"/>
  <c r="K569" i="6"/>
  <c r="L569" i="6"/>
  <c r="M569" i="6"/>
  <c r="K570" i="6"/>
  <c r="L570" i="6"/>
  <c r="M570" i="6"/>
  <c r="K571" i="6"/>
  <c r="L571" i="6"/>
  <c r="M571" i="6"/>
  <c r="K572" i="6"/>
  <c r="L572" i="6"/>
  <c r="M572" i="6"/>
  <c r="H572" i="6" s="1"/>
  <c r="K573" i="6"/>
  <c r="L573" i="6"/>
  <c r="M573" i="6"/>
  <c r="K574" i="6"/>
  <c r="L574" i="6"/>
  <c r="M574" i="6"/>
  <c r="K575" i="6"/>
  <c r="L575" i="6"/>
  <c r="H575" i="6" s="1"/>
  <c r="M575" i="6"/>
  <c r="K576" i="6"/>
  <c r="L576" i="6"/>
  <c r="M576" i="6"/>
  <c r="K577" i="6"/>
  <c r="L577" i="6"/>
  <c r="M577" i="6"/>
  <c r="K578" i="6"/>
  <c r="L578" i="6"/>
  <c r="M578" i="6"/>
  <c r="K579" i="6"/>
  <c r="L579" i="6"/>
  <c r="M579" i="6"/>
  <c r="K580" i="6"/>
  <c r="L580" i="6"/>
  <c r="M580" i="6"/>
  <c r="K581" i="6"/>
  <c r="L581" i="6"/>
  <c r="M581" i="6"/>
  <c r="K582" i="6"/>
  <c r="L582" i="6"/>
  <c r="M582" i="6"/>
  <c r="K583" i="6"/>
  <c r="L583" i="6"/>
  <c r="H583" i="6" s="1"/>
  <c r="M583" i="6"/>
  <c r="K584" i="6"/>
  <c r="L584" i="6"/>
  <c r="M584" i="6"/>
  <c r="K585" i="6"/>
  <c r="L585" i="6"/>
  <c r="M585" i="6"/>
  <c r="K586" i="6"/>
  <c r="L586" i="6"/>
  <c r="M586" i="6"/>
  <c r="K587" i="6"/>
  <c r="L587" i="6"/>
  <c r="M587" i="6"/>
  <c r="K588" i="6"/>
  <c r="L588" i="6"/>
  <c r="M588" i="6"/>
  <c r="K589" i="6"/>
  <c r="L589" i="6"/>
  <c r="M589" i="6"/>
  <c r="K590" i="6"/>
  <c r="L590" i="6"/>
  <c r="M590" i="6"/>
  <c r="K591" i="6"/>
  <c r="L591" i="6"/>
  <c r="H591" i="6" s="1"/>
  <c r="M591" i="6"/>
  <c r="K592" i="6"/>
  <c r="L592" i="6"/>
  <c r="M592" i="6"/>
  <c r="K593" i="6"/>
  <c r="L593" i="6"/>
  <c r="M593" i="6"/>
  <c r="K594" i="6"/>
  <c r="L594" i="6"/>
  <c r="M594" i="6"/>
  <c r="K595" i="6"/>
  <c r="L595" i="6"/>
  <c r="M595" i="6"/>
  <c r="K596" i="6"/>
  <c r="L596" i="6"/>
  <c r="M596" i="6"/>
  <c r="H596" i="6" s="1"/>
  <c r="K597" i="6"/>
  <c r="L597" i="6"/>
  <c r="M597" i="6"/>
  <c r="K598" i="6"/>
  <c r="L598" i="6"/>
  <c r="M598" i="6"/>
  <c r="K599" i="6"/>
  <c r="L599" i="6"/>
  <c r="H599" i="6" s="1"/>
  <c r="M599" i="6"/>
  <c r="K600" i="6"/>
  <c r="L600" i="6"/>
  <c r="M600" i="6"/>
  <c r="K601" i="6"/>
  <c r="L601" i="6"/>
  <c r="M601" i="6"/>
  <c r="K602" i="6"/>
  <c r="L602" i="6"/>
  <c r="M602" i="6"/>
  <c r="K603" i="6"/>
  <c r="L603" i="6"/>
  <c r="H603" i="6" s="1"/>
  <c r="M603" i="6"/>
  <c r="K604" i="6"/>
  <c r="L604" i="6"/>
  <c r="M604" i="6"/>
  <c r="K605" i="6"/>
  <c r="L605" i="6"/>
  <c r="M605" i="6"/>
  <c r="K606" i="6"/>
  <c r="L606" i="6"/>
  <c r="M606" i="6"/>
  <c r="K607" i="6"/>
  <c r="L607" i="6"/>
  <c r="H607" i="6" s="1"/>
  <c r="M607" i="6"/>
  <c r="K608" i="6"/>
  <c r="L608" i="6"/>
  <c r="M608" i="6"/>
  <c r="K609" i="6"/>
  <c r="L609" i="6"/>
  <c r="M609" i="6"/>
  <c r="K610" i="6"/>
  <c r="L610" i="6"/>
  <c r="M610" i="6"/>
  <c r="K611" i="6"/>
  <c r="L611" i="6"/>
  <c r="M611" i="6"/>
  <c r="K612" i="6"/>
  <c r="L612" i="6"/>
  <c r="M612" i="6"/>
  <c r="H612" i="6" s="1"/>
  <c r="K613" i="6"/>
  <c r="L613" i="6"/>
  <c r="M613" i="6"/>
  <c r="K614" i="6"/>
  <c r="L614" i="6"/>
  <c r="M614" i="6"/>
  <c r="K615" i="6"/>
  <c r="L615" i="6"/>
  <c r="H615" i="6" s="1"/>
  <c r="M615" i="6"/>
  <c r="K616" i="6"/>
  <c r="L616" i="6"/>
  <c r="M616" i="6"/>
  <c r="K617" i="6"/>
  <c r="L617" i="6"/>
  <c r="M617" i="6"/>
  <c r="K618" i="6"/>
  <c r="L618" i="6"/>
  <c r="M618" i="6"/>
  <c r="K619" i="6"/>
  <c r="L619" i="6"/>
  <c r="H619" i="6" s="1"/>
  <c r="M619" i="6"/>
  <c r="K620" i="6"/>
  <c r="L620" i="6"/>
  <c r="M620" i="6"/>
  <c r="K621" i="6"/>
  <c r="L621" i="6"/>
  <c r="M621" i="6"/>
  <c r="K622" i="6"/>
  <c r="L622" i="6"/>
  <c r="M622" i="6"/>
  <c r="K623" i="6"/>
  <c r="L623" i="6"/>
  <c r="M623" i="6"/>
  <c r="K624" i="6"/>
  <c r="L624" i="6"/>
  <c r="M624" i="6"/>
  <c r="K625" i="6"/>
  <c r="L625" i="6"/>
  <c r="M625" i="6"/>
  <c r="K626" i="6"/>
  <c r="L626" i="6"/>
  <c r="M626" i="6"/>
  <c r="K627" i="6"/>
  <c r="L627" i="6"/>
  <c r="M627" i="6"/>
  <c r="K628" i="6"/>
  <c r="L628" i="6"/>
  <c r="M628" i="6"/>
  <c r="H628" i="6" s="1"/>
  <c r="K629" i="6"/>
  <c r="L629" i="6"/>
  <c r="M629" i="6"/>
  <c r="K630" i="6"/>
  <c r="H630" i="6" s="1"/>
  <c r="L630" i="6"/>
  <c r="M630" i="6"/>
  <c r="K631" i="6"/>
  <c r="L631" i="6"/>
  <c r="H631" i="6" s="1"/>
  <c r="M631" i="6"/>
  <c r="K632" i="6"/>
  <c r="L632" i="6"/>
  <c r="M632" i="6"/>
  <c r="K633" i="6"/>
  <c r="L633" i="6"/>
  <c r="M633" i="6"/>
  <c r="K634" i="6"/>
  <c r="L634" i="6"/>
  <c r="M634" i="6"/>
  <c r="K635" i="6"/>
  <c r="L635" i="6"/>
  <c r="M635" i="6"/>
  <c r="K636" i="6"/>
  <c r="L636" i="6"/>
  <c r="M636" i="6"/>
  <c r="K637" i="6"/>
  <c r="L637" i="6"/>
  <c r="M637" i="6"/>
  <c r="K638" i="6"/>
  <c r="L638" i="6"/>
  <c r="M638" i="6"/>
  <c r="K639" i="6"/>
  <c r="L639" i="6"/>
  <c r="H639" i="6" s="1"/>
  <c r="M639" i="6"/>
  <c r="K640" i="6"/>
  <c r="L640" i="6"/>
  <c r="M640" i="6"/>
  <c r="K641" i="6"/>
  <c r="L641" i="6"/>
  <c r="M641" i="6"/>
  <c r="K642" i="6"/>
  <c r="L642" i="6"/>
  <c r="M642" i="6"/>
  <c r="K643" i="6"/>
  <c r="L643" i="6"/>
  <c r="H643" i="6" s="1"/>
  <c r="M643" i="6"/>
  <c r="K644" i="6"/>
  <c r="L644" i="6"/>
  <c r="M644" i="6"/>
  <c r="H644" i="6" s="1"/>
  <c r="K645" i="6"/>
  <c r="L645" i="6"/>
  <c r="M645" i="6"/>
  <c r="K646" i="6"/>
  <c r="L646" i="6"/>
  <c r="M646" i="6"/>
  <c r="K647" i="6"/>
  <c r="L647" i="6"/>
  <c r="H647" i="6" s="1"/>
  <c r="M647" i="6"/>
  <c r="K648" i="6"/>
  <c r="L648" i="6"/>
  <c r="M648" i="6"/>
  <c r="K649" i="6"/>
  <c r="L649" i="6"/>
  <c r="M649" i="6"/>
  <c r="K650" i="6"/>
  <c r="L650" i="6"/>
  <c r="M650" i="6"/>
  <c r="K651" i="6"/>
  <c r="L651" i="6"/>
  <c r="M651" i="6"/>
  <c r="K652" i="6"/>
  <c r="L652" i="6"/>
  <c r="M652" i="6"/>
  <c r="K653" i="6"/>
  <c r="L653" i="6"/>
  <c r="M653" i="6"/>
  <c r="K654" i="6"/>
  <c r="L654" i="6"/>
  <c r="M654" i="6"/>
  <c r="K655" i="6"/>
  <c r="L655" i="6"/>
  <c r="M655" i="6"/>
  <c r="K656" i="6"/>
  <c r="L656" i="6"/>
  <c r="M656" i="6"/>
  <c r="K657" i="6"/>
  <c r="L657" i="6"/>
  <c r="M657" i="6"/>
  <c r="K658" i="6"/>
  <c r="L658" i="6"/>
  <c r="M658" i="6"/>
  <c r="K659" i="6"/>
  <c r="L659" i="6"/>
  <c r="M659" i="6"/>
  <c r="K660" i="6"/>
  <c r="L660" i="6"/>
  <c r="M660" i="6"/>
  <c r="K661" i="6"/>
  <c r="L661" i="6"/>
  <c r="M661" i="6"/>
  <c r="K662" i="6"/>
  <c r="L662" i="6"/>
  <c r="M662" i="6"/>
  <c r="K663" i="6"/>
  <c r="L663" i="6"/>
  <c r="H663" i="6" s="1"/>
  <c r="M663" i="6"/>
  <c r="K664" i="6"/>
  <c r="L664" i="6"/>
  <c r="M664" i="6"/>
  <c r="K665" i="6"/>
  <c r="L665" i="6"/>
  <c r="M665" i="6"/>
  <c r="K666" i="6"/>
  <c r="L666" i="6"/>
  <c r="M666" i="6"/>
  <c r="K667" i="6"/>
  <c r="L667" i="6"/>
  <c r="M667" i="6"/>
  <c r="K668" i="6"/>
  <c r="L668" i="6"/>
  <c r="M668" i="6"/>
  <c r="K669" i="6"/>
  <c r="L669" i="6"/>
  <c r="M669" i="6"/>
  <c r="K670" i="6"/>
  <c r="L670" i="6"/>
  <c r="M670" i="6"/>
  <c r="K671" i="6"/>
  <c r="L671" i="6"/>
  <c r="H671" i="6" s="1"/>
  <c r="M671" i="6"/>
  <c r="K672" i="6"/>
  <c r="L672" i="6"/>
  <c r="M672" i="6"/>
  <c r="H672" i="6" s="1"/>
  <c r="K673" i="6"/>
  <c r="L673" i="6"/>
  <c r="M673" i="6"/>
  <c r="K674" i="6"/>
  <c r="L674" i="6"/>
  <c r="M674" i="6"/>
  <c r="K675" i="6"/>
  <c r="L675" i="6"/>
  <c r="M675" i="6"/>
  <c r="K676" i="6"/>
  <c r="L676" i="6"/>
  <c r="M676" i="6"/>
  <c r="K677" i="6"/>
  <c r="L677" i="6"/>
  <c r="M677" i="6"/>
  <c r="K678" i="6"/>
  <c r="L678" i="6"/>
  <c r="M678" i="6"/>
  <c r="K679" i="6"/>
  <c r="L679" i="6"/>
  <c r="H679" i="6" s="1"/>
  <c r="M679" i="6"/>
  <c r="K680" i="6"/>
  <c r="L680" i="6"/>
  <c r="M680" i="6"/>
  <c r="K681" i="6"/>
  <c r="L681" i="6"/>
  <c r="M681" i="6"/>
  <c r="K682" i="6"/>
  <c r="L682" i="6"/>
  <c r="M682" i="6"/>
  <c r="K683" i="6"/>
  <c r="L683" i="6"/>
  <c r="H683" i="6" s="1"/>
  <c r="M683" i="6"/>
  <c r="K684" i="6"/>
  <c r="L684" i="6"/>
  <c r="M684" i="6"/>
  <c r="K685" i="6"/>
  <c r="L685" i="6"/>
  <c r="M685" i="6"/>
  <c r="K686" i="6"/>
  <c r="L686" i="6"/>
  <c r="M686" i="6"/>
  <c r="K687" i="6"/>
  <c r="L687" i="6"/>
  <c r="M687" i="6"/>
  <c r="K688" i="6"/>
  <c r="L688" i="6"/>
  <c r="M688" i="6"/>
  <c r="H688" i="6" s="1"/>
  <c r="K689" i="6"/>
  <c r="L689" i="6"/>
  <c r="M689" i="6"/>
  <c r="K690" i="6"/>
  <c r="L690" i="6"/>
  <c r="M690" i="6"/>
  <c r="K691" i="6"/>
  <c r="L691" i="6"/>
  <c r="M691" i="6"/>
  <c r="K692" i="6"/>
  <c r="L692" i="6"/>
  <c r="M692" i="6"/>
  <c r="K693" i="6"/>
  <c r="L693" i="6"/>
  <c r="M693" i="6"/>
  <c r="K694" i="6"/>
  <c r="L694" i="6"/>
  <c r="M694" i="6"/>
  <c r="K695" i="6"/>
  <c r="L695" i="6"/>
  <c r="H695" i="6" s="1"/>
  <c r="M695" i="6"/>
  <c r="K696" i="6"/>
  <c r="L696" i="6"/>
  <c r="M696" i="6"/>
  <c r="K697" i="6"/>
  <c r="L697" i="6"/>
  <c r="M697" i="6"/>
  <c r="K698" i="6"/>
  <c r="H698" i="6" s="1"/>
  <c r="L698" i="6"/>
  <c r="M698" i="6"/>
  <c r="K699" i="6"/>
  <c r="H699" i="6" s="1"/>
  <c r="L699" i="6"/>
  <c r="M699" i="6"/>
  <c r="K700" i="6"/>
  <c r="L700" i="6"/>
  <c r="M700" i="6"/>
  <c r="K701" i="6"/>
  <c r="L701" i="6"/>
  <c r="M701" i="6"/>
  <c r="K702" i="6"/>
  <c r="L702" i="6"/>
  <c r="M702" i="6"/>
  <c r="K703" i="6"/>
  <c r="H703" i="6" s="1"/>
  <c r="L703" i="6"/>
  <c r="M703" i="6"/>
  <c r="K704" i="6"/>
  <c r="L704" i="6"/>
  <c r="M704" i="6"/>
  <c r="K705" i="6"/>
  <c r="L705" i="6"/>
  <c r="M705" i="6"/>
  <c r="K706" i="6"/>
  <c r="L706" i="6"/>
  <c r="M706" i="6"/>
  <c r="K707" i="6"/>
  <c r="L707" i="6"/>
  <c r="M707" i="6"/>
  <c r="K708" i="6"/>
  <c r="L708" i="6"/>
  <c r="M708" i="6"/>
  <c r="K709" i="6"/>
  <c r="L709" i="6"/>
  <c r="M709" i="6"/>
  <c r="K710" i="6"/>
  <c r="L710" i="6"/>
  <c r="M710" i="6"/>
  <c r="K711" i="6"/>
  <c r="L711" i="6"/>
  <c r="M711" i="6"/>
  <c r="K712" i="6"/>
  <c r="L712" i="6"/>
  <c r="M712" i="6"/>
  <c r="K713" i="6"/>
  <c r="L713" i="6"/>
  <c r="M713" i="6"/>
  <c r="K714" i="6"/>
  <c r="L714" i="6"/>
  <c r="M714" i="6"/>
  <c r="K715" i="6"/>
  <c r="H715" i="6" s="1"/>
  <c r="L715" i="6"/>
  <c r="M715" i="6"/>
  <c r="K716" i="6"/>
  <c r="L716" i="6"/>
  <c r="M716" i="6"/>
  <c r="K717" i="6"/>
  <c r="L717" i="6"/>
  <c r="M717" i="6"/>
  <c r="K718" i="6"/>
  <c r="L718" i="6"/>
  <c r="M718" i="6"/>
  <c r="K719" i="6"/>
  <c r="H719" i="6" s="1"/>
  <c r="L719" i="6"/>
  <c r="M719" i="6"/>
  <c r="K720" i="6"/>
  <c r="L720" i="6"/>
  <c r="M720" i="6"/>
  <c r="K721" i="6"/>
  <c r="L721" i="6"/>
  <c r="M721" i="6"/>
  <c r="K722" i="6"/>
  <c r="L722" i="6"/>
  <c r="M722" i="6"/>
  <c r="K723" i="6"/>
  <c r="L723" i="6"/>
  <c r="M723" i="6"/>
  <c r="K724" i="6"/>
  <c r="L724" i="6"/>
  <c r="M724" i="6"/>
  <c r="K725" i="6"/>
  <c r="L725" i="6"/>
  <c r="M725" i="6"/>
  <c r="K726" i="6"/>
  <c r="L726" i="6"/>
  <c r="M726" i="6"/>
  <c r="K727" i="6"/>
  <c r="H727" i="6" s="1"/>
  <c r="L727" i="6"/>
  <c r="M727" i="6"/>
  <c r="K728" i="6"/>
  <c r="L728" i="6"/>
  <c r="M728" i="6"/>
  <c r="K729" i="6"/>
  <c r="L729" i="6"/>
  <c r="M729" i="6"/>
  <c r="K730" i="6"/>
  <c r="L730" i="6"/>
  <c r="M730" i="6"/>
  <c r="K731" i="6"/>
  <c r="L731" i="6"/>
  <c r="M731" i="6"/>
  <c r="K732" i="6"/>
  <c r="L732" i="6"/>
  <c r="M732" i="6"/>
  <c r="K733" i="6"/>
  <c r="L733" i="6"/>
  <c r="M733" i="6"/>
  <c r="K734" i="6"/>
  <c r="L734" i="6"/>
  <c r="M734" i="6"/>
  <c r="K735" i="6"/>
  <c r="H735" i="6" s="1"/>
  <c r="L735" i="6"/>
  <c r="M735" i="6"/>
  <c r="K736" i="6"/>
  <c r="L736" i="6"/>
  <c r="M736" i="6"/>
  <c r="K737" i="6"/>
  <c r="L737" i="6"/>
  <c r="M737" i="6"/>
  <c r="K738" i="6"/>
  <c r="L738" i="6"/>
  <c r="M738" i="6"/>
  <c r="K739" i="6"/>
  <c r="L739" i="6"/>
  <c r="M739" i="6"/>
  <c r="K740" i="6"/>
  <c r="L740" i="6"/>
  <c r="M740" i="6"/>
  <c r="K741" i="6"/>
  <c r="L741" i="6"/>
  <c r="M741" i="6"/>
  <c r="K742" i="6"/>
  <c r="L742" i="6"/>
  <c r="M742" i="6"/>
  <c r="K743" i="6"/>
  <c r="H743" i="6" s="1"/>
  <c r="L743" i="6"/>
  <c r="M743" i="6"/>
  <c r="K744" i="6"/>
  <c r="L744" i="6"/>
  <c r="M744" i="6"/>
  <c r="K745" i="6"/>
  <c r="L745" i="6"/>
  <c r="M745" i="6"/>
  <c r="K746" i="6"/>
  <c r="L746" i="6"/>
  <c r="M746" i="6"/>
  <c r="K747" i="6"/>
  <c r="H747" i="6" s="1"/>
  <c r="L747" i="6"/>
  <c r="M747" i="6"/>
  <c r="K748" i="6"/>
  <c r="L748" i="6"/>
  <c r="M748" i="6"/>
  <c r="K749" i="6"/>
  <c r="L749" i="6"/>
  <c r="M749" i="6"/>
  <c r="K750" i="6"/>
  <c r="L750" i="6"/>
  <c r="M750" i="6"/>
  <c r="K751" i="6"/>
  <c r="L751" i="6"/>
  <c r="M751" i="6"/>
  <c r="K752" i="6"/>
  <c r="L752" i="6"/>
  <c r="M752" i="6"/>
  <c r="K753" i="6"/>
  <c r="L753" i="6"/>
  <c r="M753" i="6"/>
  <c r="K754" i="6"/>
  <c r="L754" i="6"/>
  <c r="M754" i="6"/>
  <c r="K755" i="6"/>
  <c r="L755" i="6"/>
  <c r="M755" i="6"/>
  <c r="K756" i="6"/>
  <c r="L756" i="6"/>
  <c r="M756" i="6"/>
  <c r="K757" i="6"/>
  <c r="L757" i="6"/>
  <c r="M757" i="6"/>
  <c r="K758" i="6"/>
  <c r="L758" i="6"/>
  <c r="M758" i="6"/>
  <c r="K759" i="6"/>
  <c r="H759" i="6" s="1"/>
  <c r="L759" i="6"/>
  <c r="M759" i="6"/>
  <c r="K760" i="6"/>
  <c r="L760" i="6"/>
  <c r="M760" i="6"/>
  <c r="K761" i="6"/>
  <c r="L761" i="6"/>
  <c r="M761" i="6"/>
  <c r="K762" i="6"/>
  <c r="L762" i="6"/>
  <c r="M762" i="6"/>
  <c r="K763" i="6"/>
  <c r="H763" i="6" s="1"/>
  <c r="L763" i="6"/>
  <c r="M763" i="6"/>
  <c r="K764" i="6"/>
  <c r="L764" i="6"/>
  <c r="M764" i="6"/>
  <c r="K765" i="6"/>
  <c r="L765" i="6"/>
  <c r="M765" i="6"/>
  <c r="K766" i="6"/>
  <c r="L766" i="6"/>
  <c r="M766" i="6"/>
  <c r="K767" i="6"/>
  <c r="H767" i="6" s="1"/>
  <c r="L767" i="6"/>
  <c r="M767" i="6"/>
  <c r="K768" i="6"/>
  <c r="L768" i="6"/>
  <c r="M768" i="6"/>
  <c r="K769" i="6"/>
  <c r="L769" i="6"/>
  <c r="M769" i="6"/>
  <c r="K770" i="6"/>
  <c r="L770" i="6"/>
  <c r="M770" i="6"/>
  <c r="K771" i="6"/>
  <c r="L771" i="6"/>
  <c r="M771" i="6"/>
  <c r="K772" i="6"/>
  <c r="L772" i="6"/>
  <c r="M772" i="6"/>
  <c r="K773" i="6"/>
  <c r="L773" i="6"/>
  <c r="M773" i="6"/>
  <c r="K774" i="6"/>
  <c r="L774" i="6"/>
  <c r="M774" i="6"/>
  <c r="K775" i="6"/>
  <c r="L775" i="6"/>
  <c r="M775" i="6"/>
  <c r="K776" i="6"/>
  <c r="L776" i="6"/>
  <c r="M776" i="6"/>
  <c r="K777" i="6"/>
  <c r="L777" i="6"/>
  <c r="M777" i="6"/>
  <c r="K778" i="6"/>
  <c r="L778" i="6"/>
  <c r="M778" i="6"/>
  <c r="K779" i="6"/>
  <c r="L779" i="6"/>
  <c r="M779" i="6"/>
  <c r="K780" i="6"/>
  <c r="L780" i="6"/>
  <c r="M780" i="6"/>
  <c r="K781" i="6"/>
  <c r="L781" i="6"/>
  <c r="M781" i="6"/>
  <c r="K782" i="6"/>
  <c r="L782" i="6"/>
  <c r="M782" i="6"/>
  <c r="K783" i="6"/>
  <c r="H783" i="6" s="1"/>
  <c r="L783" i="6"/>
  <c r="M783" i="6"/>
  <c r="K784" i="6"/>
  <c r="L784" i="6"/>
  <c r="M784" i="6"/>
  <c r="K785" i="6"/>
  <c r="L785" i="6"/>
  <c r="M785" i="6"/>
  <c r="K786" i="6"/>
  <c r="L786" i="6"/>
  <c r="M786" i="6"/>
  <c r="K787" i="6"/>
  <c r="L787" i="6"/>
  <c r="M787" i="6"/>
  <c r="K788" i="6"/>
  <c r="L788" i="6"/>
  <c r="M788" i="6"/>
  <c r="K789" i="6"/>
  <c r="L789" i="6"/>
  <c r="M789" i="6"/>
  <c r="K790" i="6"/>
  <c r="L790" i="6"/>
  <c r="M790" i="6"/>
  <c r="K791" i="6"/>
  <c r="H791" i="6" s="1"/>
  <c r="L791" i="6"/>
  <c r="M791" i="6"/>
  <c r="K792" i="6"/>
  <c r="L792" i="6"/>
  <c r="M792" i="6"/>
  <c r="K793" i="6"/>
  <c r="L793" i="6"/>
  <c r="M793" i="6"/>
  <c r="H793" i="6" s="1"/>
  <c r="K794" i="6"/>
  <c r="L794" i="6"/>
  <c r="M794" i="6"/>
  <c r="K795" i="6"/>
  <c r="H795" i="6" s="1"/>
  <c r="L795" i="6"/>
  <c r="M795" i="6"/>
  <c r="K796" i="6"/>
  <c r="L796" i="6"/>
  <c r="M796" i="6"/>
  <c r="K797" i="6"/>
  <c r="L797" i="6"/>
  <c r="M797" i="6"/>
  <c r="K798" i="6"/>
  <c r="L798" i="6"/>
  <c r="M798" i="6"/>
  <c r="K799" i="6"/>
  <c r="H799" i="6" s="1"/>
  <c r="L799" i="6"/>
  <c r="M799" i="6"/>
  <c r="K800" i="6"/>
  <c r="L800" i="6"/>
  <c r="M800" i="6"/>
  <c r="K801" i="6"/>
  <c r="L801" i="6"/>
  <c r="M801" i="6"/>
  <c r="K802" i="6"/>
  <c r="L802" i="6"/>
  <c r="M802" i="6"/>
  <c r="K803" i="6"/>
  <c r="L803" i="6"/>
  <c r="M803" i="6"/>
  <c r="K804" i="6"/>
  <c r="L804" i="6"/>
  <c r="M804" i="6"/>
  <c r="K805" i="6"/>
  <c r="L805" i="6"/>
  <c r="M805" i="6"/>
  <c r="K806" i="6"/>
  <c r="L806" i="6"/>
  <c r="M806" i="6"/>
  <c r="K807" i="6"/>
  <c r="H807" i="6" s="1"/>
  <c r="L807" i="6"/>
  <c r="M807" i="6"/>
  <c r="K808" i="6"/>
  <c r="L808" i="6"/>
  <c r="M808" i="6"/>
  <c r="K809" i="6"/>
  <c r="L809" i="6"/>
  <c r="M809" i="6"/>
  <c r="H809" i="6" s="1"/>
  <c r="K810" i="6"/>
  <c r="L810" i="6"/>
  <c r="M810" i="6"/>
  <c r="K811" i="6"/>
  <c r="H811" i="6" s="1"/>
  <c r="L811" i="6"/>
  <c r="M811" i="6"/>
  <c r="K812" i="6"/>
  <c r="L812" i="6"/>
  <c r="M812" i="6"/>
  <c r="K813" i="6"/>
  <c r="L813" i="6"/>
  <c r="M813" i="6"/>
  <c r="K814" i="6"/>
  <c r="L814" i="6"/>
  <c r="M814" i="6"/>
  <c r="K815" i="6"/>
  <c r="H815" i="6" s="1"/>
  <c r="L815" i="6"/>
  <c r="M815" i="6"/>
  <c r="K816" i="6"/>
  <c r="L816" i="6"/>
  <c r="M816" i="6"/>
  <c r="K817" i="6"/>
  <c r="L817" i="6"/>
  <c r="M817" i="6"/>
  <c r="K818" i="6"/>
  <c r="L818" i="6"/>
  <c r="M818" i="6"/>
  <c r="K819" i="6"/>
  <c r="L819" i="6"/>
  <c r="M819" i="6"/>
  <c r="K820" i="6"/>
  <c r="L820" i="6"/>
  <c r="M820" i="6"/>
  <c r="K821" i="6"/>
  <c r="L821" i="6"/>
  <c r="M821" i="6"/>
  <c r="K822" i="6"/>
  <c r="L822" i="6"/>
  <c r="M822" i="6"/>
  <c r="K823" i="6"/>
  <c r="L823" i="6"/>
  <c r="M823" i="6"/>
  <c r="K824" i="6"/>
  <c r="L824" i="6"/>
  <c r="M824" i="6"/>
  <c r="K825" i="6"/>
  <c r="L825" i="6"/>
  <c r="M825" i="6"/>
  <c r="K826" i="6"/>
  <c r="L826" i="6"/>
  <c r="M826" i="6"/>
  <c r="K827" i="6"/>
  <c r="H827" i="6" s="1"/>
  <c r="L827" i="6"/>
  <c r="M827" i="6"/>
  <c r="K828" i="6"/>
  <c r="L828" i="6"/>
  <c r="M828" i="6"/>
  <c r="K829" i="6"/>
  <c r="L829" i="6"/>
  <c r="M829" i="6"/>
  <c r="K830" i="6"/>
  <c r="L830" i="6"/>
  <c r="M830" i="6"/>
  <c r="K831" i="6"/>
  <c r="H831" i="6" s="1"/>
  <c r="L831" i="6"/>
  <c r="M831" i="6"/>
  <c r="K832" i="6"/>
  <c r="L832" i="6"/>
  <c r="M832" i="6"/>
  <c r="K833" i="6"/>
  <c r="L833" i="6"/>
  <c r="M833" i="6"/>
  <c r="K834" i="6"/>
  <c r="L834" i="6"/>
  <c r="M834" i="6"/>
  <c r="K835" i="6"/>
  <c r="L835" i="6"/>
  <c r="M835" i="6"/>
  <c r="K836" i="6"/>
  <c r="L836" i="6"/>
  <c r="M836" i="6"/>
  <c r="K837" i="6"/>
  <c r="L837" i="6"/>
  <c r="M837" i="6"/>
  <c r="K838" i="6"/>
  <c r="L838" i="6"/>
  <c r="M838" i="6"/>
  <c r="K839" i="6"/>
  <c r="H839" i="6" s="1"/>
  <c r="L839" i="6"/>
  <c r="M839" i="6"/>
  <c r="K840" i="6"/>
  <c r="L840" i="6"/>
  <c r="M840" i="6"/>
  <c r="K841" i="6"/>
  <c r="L841" i="6"/>
  <c r="M841" i="6"/>
  <c r="H841" i="6" s="1"/>
  <c r="K842" i="6"/>
  <c r="L842" i="6"/>
  <c r="M842" i="6"/>
  <c r="K843" i="6"/>
  <c r="L843" i="6"/>
  <c r="M843" i="6"/>
  <c r="K844" i="6"/>
  <c r="L844" i="6"/>
  <c r="M844" i="6"/>
  <c r="K845" i="6"/>
  <c r="L845" i="6"/>
  <c r="M845" i="6"/>
  <c r="H845" i="6" s="1"/>
  <c r="K846" i="6"/>
  <c r="L846" i="6"/>
  <c r="M846" i="6"/>
  <c r="K847" i="6"/>
  <c r="H847" i="6" s="1"/>
  <c r="L847" i="6"/>
  <c r="M847" i="6"/>
  <c r="K848" i="6"/>
  <c r="L848" i="6"/>
  <c r="M848" i="6"/>
  <c r="K849" i="6"/>
  <c r="L849" i="6"/>
  <c r="M849" i="6"/>
  <c r="K850" i="6"/>
  <c r="L850" i="6"/>
  <c r="M850" i="6"/>
  <c r="K851" i="6"/>
  <c r="H851" i="6" s="1"/>
  <c r="L851" i="6"/>
  <c r="M851" i="6"/>
  <c r="K852" i="6"/>
  <c r="L852" i="6"/>
  <c r="M852" i="6"/>
  <c r="K853" i="6"/>
  <c r="L853" i="6"/>
  <c r="M853" i="6"/>
  <c r="K854" i="6"/>
  <c r="L854" i="6"/>
  <c r="M854" i="6"/>
  <c r="K855" i="6"/>
  <c r="H855" i="6" s="1"/>
  <c r="L855" i="6"/>
  <c r="M855" i="6"/>
  <c r="K856" i="6"/>
  <c r="L856" i="6"/>
  <c r="M856" i="6"/>
  <c r="K857" i="6"/>
  <c r="L857" i="6"/>
  <c r="M857" i="6"/>
  <c r="H857" i="6" s="1"/>
  <c r="K858" i="6"/>
  <c r="L858" i="6"/>
  <c r="M858" i="6"/>
  <c r="K859" i="6"/>
  <c r="H859" i="6" s="1"/>
  <c r="L859" i="6"/>
  <c r="M859" i="6"/>
  <c r="K860" i="6"/>
  <c r="L860" i="6"/>
  <c r="M860" i="6"/>
  <c r="K861" i="6"/>
  <c r="L861" i="6"/>
  <c r="M861" i="6"/>
  <c r="K862" i="6"/>
  <c r="L862" i="6"/>
  <c r="M862" i="6"/>
  <c r="K863" i="6"/>
  <c r="L863" i="6"/>
  <c r="M863" i="6"/>
  <c r="K864" i="6"/>
  <c r="L864" i="6"/>
  <c r="M864" i="6"/>
  <c r="K865" i="6"/>
  <c r="L865" i="6"/>
  <c r="M865" i="6"/>
  <c r="H865" i="6" s="1"/>
  <c r="K866" i="6"/>
  <c r="L866" i="6"/>
  <c r="M866" i="6"/>
  <c r="K867" i="6"/>
  <c r="L867" i="6"/>
  <c r="M867" i="6"/>
  <c r="K868" i="6"/>
  <c r="L868" i="6"/>
  <c r="M868" i="6"/>
  <c r="K869" i="6"/>
  <c r="L869" i="6"/>
  <c r="M869" i="6"/>
  <c r="K870" i="6"/>
  <c r="L870" i="6"/>
  <c r="M870" i="6"/>
  <c r="K871" i="6"/>
  <c r="L871" i="6"/>
  <c r="M871" i="6"/>
  <c r="K872" i="6"/>
  <c r="L872" i="6"/>
  <c r="M872" i="6"/>
  <c r="K873" i="6"/>
  <c r="L873" i="6"/>
  <c r="M873" i="6"/>
  <c r="H873" i="6" s="1"/>
  <c r="K874" i="6"/>
  <c r="L874" i="6"/>
  <c r="M874" i="6"/>
  <c r="K875" i="6"/>
  <c r="H875" i="6" s="1"/>
  <c r="L875" i="6"/>
  <c r="M875" i="6"/>
  <c r="K876" i="6"/>
  <c r="L876" i="6"/>
  <c r="M876" i="6"/>
  <c r="K877" i="6"/>
  <c r="L877" i="6"/>
  <c r="M877" i="6"/>
  <c r="K878" i="6"/>
  <c r="L878" i="6"/>
  <c r="M878" i="6"/>
  <c r="K879" i="6"/>
  <c r="L879" i="6"/>
  <c r="M879" i="6"/>
  <c r="K880" i="6"/>
  <c r="L880" i="6"/>
  <c r="M880" i="6"/>
  <c r="K881" i="6"/>
  <c r="L881" i="6"/>
  <c r="M881" i="6"/>
  <c r="K882" i="6"/>
  <c r="L882" i="6"/>
  <c r="M882" i="6"/>
  <c r="K883" i="6"/>
  <c r="L883" i="6"/>
  <c r="M883" i="6"/>
  <c r="K884" i="6"/>
  <c r="L884" i="6"/>
  <c r="M884" i="6"/>
  <c r="K885" i="6"/>
  <c r="L885" i="6"/>
  <c r="M885" i="6"/>
  <c r="H885" i="6" s="1"/>
  <c r="K886" i="6"/>
  <c r="L886" i="6"/>
  <c r="M886" i="6"/>
  <c r="K887" i="6"/>
  <c r="H887" i="6" s="1"/>
  <c r="L887" i="6"/>
  <c r="M887" i="6"/>
  <c r="K888" i="6"/>
  <c r="L888" i="6"/>
  <c r="M888" i="6"/>
  <c r="K889" i="6"/>
  <c r="L889" i="6"/>
  <c r="M889" i="6"/>
  <c r="H889" i="6" s="1"/>
  <c r="K890" i="6"/>
  <c r="L890" i="6"/>
  <c r="M890" i="6"/>
  <c r="K891" i="6"/>
  <c r="H891" i="6" s="1"/>
  <c r="L891" i="6"/>
  <c r="M891" i="6"/>
  <c r="K892" i="6"/>
  <c r="L892" i="6"/>
  <c r="M892" i="6"/>
  <c r="K893" i="6"/>
  <c r="L893" i="6"/>
  <c r="M893" i="6"/>
  <c r="K894" i="6"/>
  <c r="L894" i="6"/>
  <c r="M894" i="6"/>
  <c r="K895" i="6"/>
  <c r="H895" i="6" s="1"/>
  <c r="L895" i="6"/>
  <c r="M895" i="6"/>
  <c r="K896" i="6"/>
  <c r="L896" i="6"/>
  <c r="M896" i="6"/>
  <c r="K897" i="6"/>
  <c r="L897" i="6"/>
  <c r="M897" i="6"/>
  <c r="K898" i="6"/>
  <c r="L898" i="6"/>
  <c r="M898" i="6"/>
  <c r="K899" i="6"/>
  <c r="L899" i="6"/>
  <c r="M899" i="6"/>
  <c r="K900" i="6"/>
  <c r="L900" i="6"/>
  <c r="M900" i="6"/>
  <c r="K901" i="6"/>
  <c r="L901" i="6"/>
  <c r="M901" i="6"/>
  <c r="K902" i="6"/>
  <c r="L902" i="6"/>
  <c r="M902" i="6"/>
  <c r="K903" i="6"/>
  <c r="H903" i="6" s="1"/>
  <c r="L903" i="6"/>
  <c r="M903" i="6"/>
  <c r="K904" i="6"/>
  <c r="L904" i="6"/>
  <c r="M904" i="6"/>
  <c r="K905" i="6"/>
  <c r="L905" i="6"/>
  <c r="M905" i="6"/>
  <c r="H905" i="6" s="1"/>
  <c r="K906" i="6"/>
  <c r="L906" i="6"/>
  <c r="M906" i="6"/>
  <c r="K907" i="6"/>
  <c r="H907" i="6" s="1"/>
  <c r="L907" i="6"/>
  <c r="M907" i="6"/>
  <c r="K908" i="6"/>
  <c r="L908" i="6"/>
  <c r="M908" i="6"/>
  <c r="K909" i="6"/>
  <c r="L909" i="6"/>
  <c r="M909" i="6"/>
  <c r="H909" i="6" s="1"/>
  <c r="K910" i="6"/>
  <c r="L910" i="6"/>
  <c r="M910" i="6"/>
  <c r="K911" i="6"/>
  <c r="H911" i="6" s="1"/>
  <c r="L911" i="6"/>
  <c r="M911" i="6"/>
  <c r="K912" i="6"/>
  <c r="L912" i="6"/>
  <c r="M912" i="6"/>
  <c r="K913" i="6"/>
  <c r="L913" i="6"/>
  <c r="M913" i="6"/>
  <c r="K914" i="6"/>
  <c r="L914" i="6"/>
  <c r="M914" i="6"/>
  <c r="K915" i="6"/>
  <c r="L915" i="6"/>
  <c r="M915" i="6"/>
  <c r="K916" i="6"/>
  <c r="L916" i="6"/>
  <c r="M916" i="6"/>
  <c r="K917" i="6"/>
  <c r="L917" i="6"/>
  <c r="M917" i="6"/>
  <c r="K918" i="6"/>
  <c r="L918" i="6"/>
  <c r="M918" i="6"/>
  <c r="K919" i="6"/>
  <c r="L919" i="6"/>
  <c r="M919" i="6"/>
  <c r="K920" i="6"/>
  <c r="L920" i="6"/>
  <c r="M920" i="6"/>
  <c r="K921" i="6"/>
  <c r="L921" i="6"/>
  <c r="M921" i="6"/>
  <c r="H921" i="6" s="1"/>
  <c r="K922" i="6"/>
  <c r="L922" i="6"/>
  <c r="M922" i="6"/>
  <c r="K923" i="6"/>
  <c r="L923" i="6"/>
  <c r="M923" i="6"/>
  <c r="K924" i="6"/>
  <c r="L924" i="6"/>
  <c r="M924" i="6"/>
  <c r="K925" i="6"/>
  <c r="L925" i="6"/>
  <c r="M925" i="6"/>
  <c r="K926" i="6"/>
  <c r="L926" i="6"/>
  <c r="M926" i="6"/>
  <c r="K927" i="6"/>
  <c r="H927" i="6" s="1"/>
  <c r="L927" i="6"/>
  <c r="M927" i="6"/>
  <c r="K928" i="6"/>
  <c r="L928" i="6"/>
  <c r="M928" i="6"/>
  <c r="K929" i="6"/>
  <c r="L929" i="6"/>
  <c r="M929" i="6"/>
  <c r="H929" i="6" s="1"/>
  <c r="K930" i="6"/>
  <c r="L930" i="6"/>
  <c r="M930" i="6"/>
  <c r="K931" i="6"/>
  <c r="L931" i="6"/>
  <c r="M931" i="6"/>
  <c r="K932" i="6"/>
  <c r="L932" i="6"/>
  <c r="M932" i="6"/>
  <c r="K933" i="6"/>
  <c r="L933" i="6"/>
  <c r="M933" i="6"/>
  <c r="K934" i="6"/>
  <c r="L934" i="6"/>
  <c r="M934" i="6"/>
  <c r="K935" i="6"/>
  <c r="H935" i="6" s="1"/>
  <c r="L935" i="6"/>
  <c r="M935" i="6"/>
  <c r="K936" i="6"/>
  <c r="L936" i="6"/>
  <c r="M936" i="6"/>
  <c r="K937" i="6"/>
  <c r="L937" i="6"/>
  <c r="M937" i="6"/>
  <c r="H937" i="6" s="1"/>
  <c r="K938" i="6"/>
  <c r="L938" i="6"/>
  <c r="M938" i="6"/>
  <c r="K939" i="6"/>
  <c r="H939" i="6" s="1"/>
  <c r="L939" i="6"/>
  <c r="M939" i="6"/>
  <c r="K940" i="6"/>
  <c r="L940" i="6"/>
  <c r="M940" i="6"/>
  <c r="K941" i="6"/>
  <c r="L941" i="6"/>
  <c r="M941" i="6"/>
  <c r="K942" i="6"/>
  <c r="L942" i="6"/>
  <c r="M942" i="6"/>
  <c r="K943" i="6"/>
  <c r="H943" i="6" s="1"/>
  <c r="L943" i="6"/>
  <c r="M943" i="6"/>
  <c r="K944" i="6"/>
  <c r="L944" i="6"/>
  <c r="H944" i="6" s="1"/>
  <c r="M944" i="6"/>
  <c r="K945" i="6"/>
  <c r="L945" i="6"/>
  <c r="M945" i="6"/>
  <c r="K946" i="6"/>
  <c r="L946" i="6"/>
  <c r="M946" i="6"/>
  <c r="K947" i="6"/>
  <c r="H947" i="6" s="1"/>
  <c r="L947" i="6"/>
  <c r="M947" i="6"/>
  <c r="K948" i="6"/>
  <c r="L948" i="6"/>
  <c r="H948" i="6" s="1"/>
  <c r="M948" i="6"/>
  <c r="K949" i="6"/>
  <c r="L949" i="6"/>
  <c r="M949" i="6"/>
  <c r="H949" i="6" s="1"/>
  <c r="K950" i="6"/>
  <c r="L950" i="6"/>
  <c r="M950" i="6"/>
  <c r="K951" i="6"/>
  <c r="L951" i="6"/>
  <c r="M951" i="6"/>
  <c r="K952" i="6"/>
  <c r="L952" i="6"/>
  <c r="H952" i="6" s="1"/>
  <c r="M952" i="6"/>
  <c r="K953" i="6"/>
  <c r="L953" i="6"/>
  <c r="M953" i="6"/>
  <c r="H953" i="6" s="1"/>
  <c r="K954" i="6"/>
  <c r="L954" i="6"/>
  <c r="M954" i="6"/>
  <c r="K955" i="6"/>
  <c r="H955" i="6" s="1"/>
  <c r="L955" i="6"/>
  <c r="M955" i="6"/>
  <c r="K956" i="6"/>
  <c r="L956" i="6"/>
  <c r="H956" i="6" s="1"/>
  <c r="M956" i="6"/>
  <c r="K957" i="6"/>
  <c r="L957" i="6"/>
  <c r="M957" i="6"/>
  <c r="H957" i="6" s="1"/>
  <c r="K958" i="6"/>
  <c r="L958" i="6"/>
  <c r="M958" i="6"/>
  <c r="K959" i="6"/>
  <c r="H959" i="6" s="1"/>
  <c r="L959" i="6"/>
  <c r="M959" i="6"/>
  <c r="K960" i="6"/>
  <c r="L960" i="6"/>
  <c r="H960" i="6" s="1"/>
  <c r="M960" i="6"/>
  <c r="K961" i="6"/>
  <c r="L961" i="6"/>
  <c r="M961" i="6"/>
  <c r="K962" i="6"/>
  <c r="L962" i="6"/>
  <c r="M962" i="6"/>
  <c r="K963" i="6"/>
  <c r="H963" i="6" s="1"/>
  <c r="L963" i="6"/>
  <c r="M963" i="6"/>
  <c r="K964" i="6"/>
  <c r="L964" i="6"/>
  <c r="H964" i="6" s="1"/>
  <c r="M964" i="6"/>
  <c r="K965" i="6"/>
  <c r="L965" i="6"/>
  <c r="M965" i="6"/>
  <c r="H965" i="6" s="1"/>
  <c r="K966" i="6"/>
  <c r="L966" i="6"/>
  <c r="M966" i="6"/>
  <c r="K967" i="6"/>
  <c r="H967" i="6" s="1"/>
  <c r="L967" i="6"/>
  <c r="M967" i="6"/>
  <c r="K968" i="6"/>
  <c r="L968" i="6"/>
  <c r="H968" i="6" s="1"/>
  <c r="M968" i="6"/>
  <c r="K969" i="6"/>
  <c r="L969" i="6"/>
  <c r="M969" i="6"/>
  <c r="H969" i="6" s="1"/>
  <c r="K970" i="6"/>
  <c r="L970" i="6"/>
  <c r="M970" i="6"/>
  <c r="K971" i="6"/>
  <c r="L971" i="6"/>
  <c r="M971" i="6"/>
  <c r="K972" i="6"/>
  <c r="L972" i="6"/>
  <c r="M972" i="6"/>
  <c r="K973" i="6"/>
  <c r="L973" i="6"/>
  <c r="M973" i="6"/>
  <c r="K974" i="6"/>
  <c r="L974" i="6"/>
  <c r="M974" i="6"/>
  <c r="K975" i="6"/>
  <c r="H975" i="6" s="1"/>
  <c r="L975" i="6"/>
  <c r="M975" i="6"/>
  <c r="K976" i="6"/>
  <c r="L976" i="6"/>
  <c r="H976" i="6" s="1"/>
  <c r="M976" i="6"/>
  <c r="K977" i="6"/>
  <c r="L977" i="6"/>
  <c r="M977" i="6"/>
  <c r="K978" i="6"/>
  <c r="L978" i="6"/>
  <c r="M978" i="6"/>
  <c r="K979" i="6"/>
  <c r="L979" i="6"/>
  <c r="M979" i="6"/>
  <c r="K980" i="6"/>
  <c r="L980" i="6"/>
  <c r="H980" i="6" s="1"/>
  <c r="M980" i="6"/>
  <c r="K981" i="6"/>
  <c r="L981" i="6"/>
  <c r="M981" i="6"/>
  <c r="K982" i="6"/>
  <c r="L982" i="6"/>
  <c r="M982" i="6"/>
  <c r="K983" i="6"/>
  <c r="L983" i="6"/>
  <c r="M983" i="6"/>
  <c r="K984" i="6"/>
  <c r="L984" i="6"/>
  <c r="H984" i="6" s="1"/>
  <c r="M984" i="6"/>
  <c r="K985" i="6"/>
  <c r="L985" i="6"/>
  <c r="M985" i="6"/>
  <c r="K986" i="6"/>
  <c r="L986" i="6"/>
  <c r="M986" i="6"/>
  <c r="K987" i="6"/>
  <c r="L987" i="6"/>
  <c r="M987" i="6"/>
  <c r="K988" i="6"/>
  <c r="L988" i="6"/>
  <c r="M988" i="6"/>
  <c r="K989" i="6"/>
  <c r="L989" i="6"/>
  <c r="M989" i="6"/>
  <c r="K990" i="6"/>
  <c r="L990" i="6"/>
  <c r="M990" i="6"/>
  <c r="H990" i="6" s="1"/>
  <c r="K991" i="6"/>
  <c r="L991" i="6"/>
  <c r="M991" i="6"/>
  <c r="K992" i="6"/>
  <c r="L992" i="6"/>
  <c r="M992" i="6"/>
  <c r="K993" i="6"/>
  <c r="L993" i="6"/>
  <c r="M993" i="6"/>
  <c r="K994" i="6"/>
  <c r="L994" i="6"/>
  <c r="M994" i="6"/>
  <c r="K995" i="6"/>
  <c r="L995" i="6"/>
  <c r="M995" i="6"/>
  <c r="K996" i="6"/>
  <c r="L996" i="6"/>
  <c r="M996" i="6"/>
  <c r="K997" i="6"/>
  <c r="L997" i="6"/>
  <c r="M997" i="6"/>
  <c r="K998" i="6"/>
  <c r="L998" i="6"/>
  <c r="M998" i="6"/>
  <c r="K999" i="6"/>
  <c r="L999" i="6"/>
  <c r="M999" i="6"/>
  <c r="K1000" i="6"/>
  <c r="L1000" i="6"/>
  <c r="M1000" i="6"/>
  <c r="K1001" i="6"/>
  <c r="L1001" i="6"/>
  <c r="M1001" i="6"/>
  <c r="H1001" i="6" s="1"/>
  <c r="K1002" i="6"/>
  <c r="L1002" i="6"/>
  <c r="M1002" i="6"/>
  <c r="K1003" i="6"/>
  <c r="L1003" i="6"/>
  <c r="M1003" i="6"/>
  <c r="K1004" i="6"/>
  <c r="L1004" i="6"/>
  <c r="M1004" i="6"/>
  <c r="K1005" i="6"/>
  <c r="L1005" i="6"/>
  <c r="M1005" i="6"/>
  <c r="H1005" i="6" s="1"/>
  <c r="K1006" i="6"/>
  <c r="L1006" i="6"/>
  <c r="M1006" i="6"/>
  <c r="K1007" i="6"/>
  <c r="L1007" i="6"/>
  <c r="M1007" i="6"/>
  <c r="K1008" i="6"/>
  <c r="L1008" i="6"/>
  <c r="M1008" i="6"/>
  <c r="K1009" i="6"/>
  <c r="L1009" i="6"/>
  <c r="M1009" i="6"/>
  <c r="H1009" i="6" s="1"/>
  <c r="K1010" i="6"/>
  <c r="L1010" i="6"/>
  <c r="M1010" i="6"/>
  <c r="K1011" i="6"/>
  <c r="L1011" i="6"/>
  <c r="M1011" i="6"/>
  <c r="K1012" i="6"/>
  <c r="L1012" i="6"/>
  <c r="M1012" i="6"/>
  <c r="K1013" i="6"/>
  <c r="L1013" i="6"/>
  <c r="M1013" i="6"/>
  <c r="K1014" i="6"/>
  <c r="L1014" i="6"/>
  <c r="M1014" i="6"/>
  <c r="K1015" i="6"/>
  <c r="L1015" i="6"/>
  <c r="M1015" i="6"/>
  <c r="K1016" i="6"/>
  <c r="L1016" i="6"/>
  <c r="H1016" i="6" s="1"/>
  <c r="M1016" i="6"/>
  <c r="K1017" i="6"/>
  <c r="L1017" i="6"/>
  <c r="M1017" i="6"/>
  <c r="H1017" i="6" s="1"/>
  <c r="K1018" i="6"/>
  <c r="L1018" i="6"/>
  <c r="M1018" i="6"/>
  <c r="K1019" i="6"/>
  <c r="H1019" i="6" s="1"/>
  <c r="L1019" i="6"/>
  <c r="M1019" i="6"/>
  <c r="K1020" i="6"/>
  <c r="L1020" i="6"/>
  <c r="H1020" i="6" s="1"/>
  <c r="M1020" i="6"/>
  <c r="K1021" i="6"/>
  <c r="L1021" i="6"/>
  <c r="M1021" i="6"/>
  <c r="H1021" i="6" s="1"/>
  <c r="K1022" i="6"/>
  <c r="L1022" i="6"/>
  <c r="M1022" i="6"/>
  <c r="K1023" i="6"/>
  <c r="H1023" i="6" s="1"/>
  <c r="L1023" i="6"/>
  <c r="M1023" i="6"/>
  <c r="K1024" i="6"/>
  <c r="L1024" i="6"/>
  <c r="H1024" i="6" s="1"/>
  <c r="M1024" i="6"/>
  <c r="K1025" i="6"/>
  <c r="L1025" i="6"/>
  <c r="M1025" i="6"/>
  <c r="H1025" i="6" s="1"/>
  <c r="K1026" i="6"/>
  <c r="L1026" i="6"/>
  <c r="M1026" i="6"/>
  <c r="K1027" i="6"/>
  <c r="L1027" i="6"/>
  <c r="M1027" i="6"/>
  <c r="K1028" i="6"/>
  <c r="L1028" i="6"/>
  <c r="M1028" i="6"/>
  <c r="K1029" i="6"/>
  <c r="L1029" i="6"/>
  <c r="M1029" i="6"/>
  <c r="K1030" i="6"/>
  <c r="L1030" i="6"/>
  <c r="M1030" i="6"/>
  <c r="K1031" i="6"/>
  <c r="L1031" i="6"/>
  <c r="M1031" i="6"/>
  <c r="K1032" i="6"/>
  <c r="L1032" i="6"/>
  <c r="H1032" i="6" s="1"/>
  <c r="M1032" i="6"/>
  <c r="K1033" i="6"/>
  <c r="L1033" i="6"/>
  <c r="M1033" i="6"/>
  <c r="H1033" i="6" s="1"/>
  <c r="K1034" i="6"/>
  <c r="L1034" i="6"/>
  <c r="M1034" i="6"/>
  <c r="K1035" i="6"/>
  <c r="H1035" i="6" s="1"/>
  <c r="L1035" i="6"/>
  <c r="M1035" i="6"/>
  <c r="K1036" i="6"/>
  <c r="L1036" i="6"/>
  <c r="H1036" i="6" s="1"/>
  <c r="M1036" i="6"/>
  <c r="K1037" i="6"/>
  <c r="L1037" i="6"/>
  <c r="M1037" i="6"/>
  <c r="H1037" i="6" s="1"/>
  <c r="K1038" i="6"/>
  <c r="L1038" i="6"/>
  <c r="M1038" i="6"/>
  <c r="K1039" i="6"/>
  <c r="H1039" i="6" s="1"/>
  <c r="L1039" i="6"/>
  <c r="M1039" i="6"/>
  <c r="K1040" i="6"/>
  <c r="L1040" i="6"/>
  <c r="H1040" i="6" s="1"/>
  <c r="M1040" i="6"/>
  <c r="K1041" i="6"/>
  <c r="L1041" i="6"/>
  <c r="M1041" i="6"/>
  <c r="H1041" i="6" s="1"/>
  <c r="K1042" i="6"/>
  <c r="L1042" i="6"/>
  <c r="M1042" i="6"/>
  <c r="K1043" i="6"/>
  <c r="L1043" i="6"/>
  <c r="M1043" i="6"/>
  <c r="K1044" i="6"/>
  <c r="L1044" i="6"/>
  <c r="H1044" i="6" s="1"/>
  <c r="M1044" i="6"/>
  <c r="K1045" i="6"/>
  <c r="L1045" i="6"/>
  <c r="H1045" i="6" s="1"/>
  <c r="M1045" i="6"/>
  <c r="K1046" i="6"/>
  <c r="L1046" i="6"/>
  <c r="H1046" i="6" s="1"/>
  <c r="M1046" i="6"/>
  <c r="K1047" i="6"/>
  <c r="L1047" i="6"/>
  <c r="M1047" i="6"/>
  <c r="H1047" i="6" s="1"/>
  <c r="K1048" i="6"/>
  <c r="L1048" i="6"/>
  <c r="M1048" i="6"/>
  <c r="K1049" i="6"/>
  <c r="H1049" i="6" s="1"/>
  <c r="L1049" i="6"/>
  <c r="M1049" i="6"/>
  <c r="K1050" i="6"/>
  <c r="L1050" i="6"/>
  <c r="M1050" i="6"/>
  <c r="K1051" i="6"/>
  <c r="L1051" i="6"/>
  <c r="M1051" i="6"/>
  <c r="K1052" i="6"/>
  <c r="L1052" i="6"/>
  <c r="M1052" i="6"/>
  <c r="K1053" i="6"/>
  <c r="H1053" i="6" s="1"/>
  <c r="L1053" i="6"/>
  <c r="M1053" i="6"/>
  <c r="K1054" i="6"/>
  <c r="L1054" i="6"/>
  <c r="H1054" i="6" s="1"/>
  <c r="M1054" i="6"/>
  <c r="K1055" i="6"/>
  <c r="L1055" i="6"/>
  <c r="M1055" i="6"/>
  <c r="H1055" i="6" s="1"/>
  <c r="K1056" i="6"/>
  <c r="L1056" i="6"/>
  <c r="M1056" i="6"/>
  <c r="K1057" i="6"/>
  <c r="H1057" i="6" s="1"/>
  <c r="L1057" i="6"/>
  <c r="M1057" i="6"/>
  <c r="K1058" i="6"/>
  <c r="L1058" i="6"/>
  <c r="H1058" i="6" s="1"/>
  <c r="M1058" i="6"/>
  <c r="K1059" i="6"/>
  <c r="L1059" i="6"/>
  <c r="M1059" i="6"/>
  <c r="K1060" i="6"/>
  <c r="L1060" i="6"/>
  <c r="M1060" i="6"/>
  <c r="K1061" i="6"/>
  <c r="L1061" i="6"/>
  <c r="M1061" i="6"/>
  <c r="K1062" i="6"/>
  <c r="L1062" i="6"/>
  <c r="M1062" i="6"/>
  <c r="K1063" i="6"/>
  <c r="L1063" i="6"/>
  <c r="M1063" i="6"/>
  <c r="H1063" i="6" s="1"/>
  <c r="K1064" i="6"/>
  <c r="L1064" i="6"/>
  <c r="M1064" i="6"/>
  <c r="K1065" i="6"/>
  <c r="L1065" i="6"/>
  <c r="M1065" i="6"/>
  <c r="K1066" i="6"/>
  <c r="L1066" i="6"/>
  <c r="M1066" i="6"/>
  <c r="K1067" i="6"/>
  <c r="L1067" i="6"/>
  <c r="M1067" i="6"/>
  <c r="K1068" i="6"/>
  <c r="L1068" i="6"/>
  <c r="M1068" i="6"/>
  <c r="K1069" i="6"/>
  <c r="H1069" i="6" s="1"/>
  <c r="L1069" i="6"/>
  <c r="M1069" i="6"/>
  <c r="K1070" i="6"/>
  <c r="L1070" i="6"/>
  <c r="M1070" i="6"/>
  <c r="K1071" i="6"/>
  <c r="L1071" i="6"/>
  <c r="M1071" i="6"/>
  <c r="H1071" i="6" s="1"/>
  <c r="K1072" i="6"/>
  <c r="L1072" i="6"/>
  <c r="M1072" i="6"/>
  <c r="K1073" i="6"/>
  <c r="L1073" i="6"/>
  <c r="M1073" i="6"/>
  <c r="K1074" i="6"/>
  <c r="L1074" i="6"/>
  <c r="M1074" i="6"/>
  <c r="K1075" i="6"/>
  <c r="L1075" i="6"/>
  <c r="M1075" i="6"/>
  <c r="K1076" i="6"/>
  <c r="L1076" i="6"/>
  <c r="M1076" i="6"/>
  <c r="K1077" i="6"/>
  <c r="L1077" i="6"/>
  <c r="M1077" i="6"/>
  <c r="K1078" i="6"/>
  <c r="L1078" i="6"/>
  <c r="M1078" i="6"/>
  <c r="K1079" i="6"/>
  <c r="L1079" i="6"/>
  <c r="M1079" i="6"/>
  <c r="H1079" i="6" s="1"/>
  <c r="K1080" i="6"/>
  <c r="L1080" i="6"/>
  <c r="M1080" i="6"/>
  <c r="K1081" i="6"/>
  <c r="H1081" i="6" s="1"/>
  <c r="L1081" i="6"/>
  <c r="M1081" i="6"/>
  <c r="K1082" i="6"/>
  <c r="L1082" i="6"/>
  <c r="H1082" i="6" s="1"/>
  <c r="M1082" i="6"/>
  <c r="K1083" i="6"/>
  <c r="L1083" i="6"/>
  <c r="M1083" i="6"/>
  <c r="H1083" i="6" s="1"/>
  <c r="K1084" i="6"/>
  <c r="L1084" i="6"/>
  <c r="M1084" i="6"/>
  <c r="K1085" i="6"/>
  <c r="H1085" i="6" s="1"/>
  <c r="L1085" i="6"/>
  <c r="M1085" i="6"/>
  <c r="K1086" i="6"/>
  <c r="L1086" i="6"/>
  <c r="M1086" i="6"/>
  <c r="K1087" i="6"/>
  <c r="L1087" i="6"/>
  <c r="M1087" i="6"/>
  <c r="H1087" i="6" s="1"/>
  <c r="K1088" i="6"/>
  <c r="L1088" i="6"/>
  <c r="M1088" i="6"/>
  <c r="K1089" i="6"/>
  <c r="H1089" i="6" s="1"/>
  <c r="L1089" i="6"/>
  <c r="M1089" i="6"/>
  <c r="K1090" i="6"/>
  <c r="L1090" i="6"/>
  <c r="M1090" i="6"/>
  <c r="K1091" i="6"/>
  <c r="L1091" i="6"/>
  <c r="M1091" i="6"/>
  <c r="H1091" i="6" s="1"/>
  <c r="K1092" i="6"/>
  <c r="L1092" i="6"/>
  <c r="M1092" i="6"/>
  <c r="K1093" i="6"/>
  <c r="H1093" i="6" s="1"/>
  <c r="L1093" i="6"/>
  <c r="M1093" i="6"/>
  <c r="K1094" i="6"/>
  <c r="L1094" i="6"/>
  <c r="M1094" i="6"/>
  <c r="K1095" i="6"/>
  <c r="L1095" i="6"/>
  <c r="M1095" i="6"/>
  <c r="K1096" i="6"/>
  <c r="L1096" i="6"/>
  <c r="M1096" i="6"/>
  <c r="K1097" i="6"/>
  <c r="L1097" i="6"/>
  <c r="M1097" i="6"/>
  <c r="K1098" i="6"/>
  <c r="L1098" i="6"/>
  <c r="M1098" i="6"/>
  <c r="K1099" i="6"/>
  <c r="L1099" i="6"/>
  <c r="M1099" i="6"/>
  <c r="H1099" i="6" s="1"/>
  <c r="K1100" i="6"/>
  <c r="L1100" i="6"/>
  <c r="M1100" i="6"/>
  <c r="K1101" i="6"/>
  <c r="H1101" i="6" s="1"/>
  <c r="L1101" i="6"/>
  <c r="M1101" i="6"/>
  <c r="K1102" i="6"/>
  <c r="L1102" i="6"/>
  <c r="M1102" i="6"/>
  <c r="K1103" i="6"/>
  <c r="L1103" i="6"/>
  <c r="M1103" i="6"/>
  <c r="H1103" i="6" s="1"/>
  <c r="K1104" i="6"/>
  <c r="L1104" i="6"/>
  <c r="M1104" i="6"/>
  <c r="K1105" i="6"/>
  <c r="H1105" i="6" s="1"/>
  <c r="L1105" i="6"/>
  <c r="M1105" i="6"/>
  <c r="K1106" i="6"/>
  <c r="L1106" i="6"/>
  <c r="M1106" i="6"/>
  <c r="K1107" i="6"/>
  <c r="L1107" i="6"/>
  <c r="M1107" i="6"/>
  <c r="H1107" i="6" s="1"/>
  <c r="K1108" i="6"/>
  <c r="L1108" i="6"/>
  <c r="M1108" i="6"/>
  <c r="K1109" i="6"/>
  <c r="H1109" i="6" s="1"/>
  <c r="L1109" i="6"/>
  <c r="M1109" i="6"/>
  <c r="K1110" i="6"/>
  <c r="L1110" i="6"/>
  <c r="M1110" i="6"/>
  <c r="K1111" i="6"/>
  <c r="L1111" i="6"/>
  <c r="M1111" i="6"/>
  <c r="H1111" i="6" s="1"/>
  <c r="K1112" i="6"/>
  <c r="L1112" i="6"/>
  <c r="M1112" i="6"/>
  <c r="K1113" i="6"/>
  <c r="H1113" i="6" s="1"/>
  <c r="L1113" i="6"/>
  <c r="M1113" i="6"/>
  <c r="K1114" i="6"/>
  <c r="L1114" i="6"/>
  <c r="H1114" i="6" s="1"/>
  <c r="M1114" i="6"/>
  <c r="K1115" i="6"/>
  <c r="L1115" i="6"/>
  <c r="M1115" i="6"/>
  <c r="K1116" i="6"/>
  <c r="L1116" i="6"/>
  <c r="M1116" i="6"/>
  <c r="K1117" i="6"/>
  <c r="H1117" i="6" s="1"/>
  <c r="L1117" i="6"/>
  <c r="M1117" i="6"/>
  <c r="K1118" i="6"/>
  <c r="L1118" i="6"/>
  <c r="M1118" i="6"/>
  <c r="K1119" i="6"/>
  <c r="L1119" i="6"/>
  <c r="M1119" i="6"/>
  <c r="H1119" i="6" s="1"/>
  <c r="K1120" i="6"/>
  <c r="L1120" i="6"/>
  <c r="M1120" i="6"/>
  <c r="K1121" i="6"/>
  <c r="H1121" i="6" s="1"/>
  <c r="L1121" i="6"/>
  <c r="M1121" i="6"/>
  <c r="K1122" i="6"/>
  <c r="L1122" i="6"/>
  <c r="M1122" i="6"/>
  <c r="K1123" i="6"/>
  <c r="L1123" i="6"/>
  <c r="M1123" i="6"/>
  <c r="K1124" i="6"/>
  <c r="L1124" i="6"/>
  <c r="M1124" i="6"/>
  <c r="K1125" i="6"/>
  <c r="H1125" i="6" s="1"/>
  <c r="L1125" i="6"/>
  <c r="M1125" i="6"/>
  <c r="K1126" i="6"/>
  <c r="L1126" i="6"/>
  <c r="M1126" i="6"/>
  <c r="K1127" i="6"/>
  <c r="L1127" i="6"/>
  <c r="M1127" i="6"/>
  <c r="H1127" i="6" s="1"/>
  <c r="K1128" i="6"/>
  <c r="L1128" i="6"/>
  <c r="M1128" i="6"/>
  <c r="K1129" i="6"/>
  <c r="H1129" i="6" s="1"/>
  <c r="L1129" i="6"/>
  <c r="M1129" i="6"/>
  <c r="K1130" i="6"/>
  <c r="L1130" i="6"/>
  <c r="M1130" i="6"/>
  <c r="K1131" i="6"/>
  <c r="L1131" i="6"/>
  <c r="M1131" i="6"/>
  <c r="H1131" i="6" s="1"/>
  <c r="K1132" i="6"/>
  <c r="L1132" i="6"/>
  <c r="M1132" i="6"/>
  <c r="K1133" i="6"/>
  <c r="H1133" i="6" s="1"/>
  <c r="L1133" i="6"/>
  <c r="M1133" i="6"/>
  <c r="K1134" i="6"/>
  <c r="L1134" i="6"/>
  <c r="M1134" i="6"/>
  <c r="K1135" i="6"/>
  <c r="L1135" i="6"/>
  <c r="M1135" i="6"/>
  <c r="K1136" i="6"/>
  <c r="L1136" i="6"/>
  <c r="M1136" i="6"/>
  <c r="K1137" i="6"/>
  <c r="H1137" i="6" s="1"/>
  <c r="L1137" i="6"/>
  <c r="M1137" i="6"/>
  <c r="K1138" i="6"/>
  <c r="L1138" i="6"/>
  <c r="M1138" i="6"/>
  <c r="K1139" i="6"/>
  <c r="L1139" i="6"/>
  <c r="M1139" i="6"/>
  <c r="K1140" i="6"/>
  <c r="L1140" i="6"/>
  <c r="M1140" i="6"/>
  <c r="K1141" i="6"/>
  <c r="L1141" i="6"/>
  <c r="M1141" i="6"/>
  <c r="K1142" i="6"/>
  <c r="L1142" i="6"/>
  <c r="H1142" i="6" s="1"/>
  <c r="M1142" i="6"/>
  <c r="K1143" i="6"/>
  <c r="L1143" i="6"/>
  <c r="M1143" i="6"/>
  <c r="H1143" i="6" s="1"/>
  <c r="K1144" i="6"/>
  <c r="L1144" i="6"/>
  <c r="M1144" i="6"/>
  <c r="K1145" i="6"/>
  <c r="H1145" i="6" s="1"/>
  <c r="L1145" i="6"/>
  <c r="M1145" i="6"/>
  <c r="K1146" i="6"/>
  <c r="L1146" i="6"/>
  <c r="H1146" i="6" s="1"/>
  <c r="M1146" i="6"/>
  <c r="K1147" i="6"/>
  <c r="L1147" i="6"/>
  <c r="M1147" i="6"/>
  <c r="H1147" i="6" s="1"/>
  <c r="K1148" i="6"/>
  <c r="L1148" i="6"/>
  <c r="M1148" i="6"/>
  <c r="K1149" i="6"/>
  <c r="H1149" i="6" s="1"/>
  <c r="L1149" i="6"/>
  <c r="M1149" i="6"/>
  <c r="K1150" i="6"/>
  <c r="L1150" i="6"/>
  <c r="M1150" i="6"/>
  <c r="K1151" i="6"/>
  <c r="L1151" i="6"/>
  <c r="M1151" i="6"/>
  <c r="H1151" i="6" s="1"/>
  <c r="K1152" i="6"/>
  <c r="L1152" i="6"/>
  <c r="M1152" i="6"/>
  <c r="K1153" i="6"/>
  <c r="H1153" i="6" s="1"/>
  <c r="L1153" i="6"/>
  <c r="M1153" i="6"/>
  <c r="K1154" i="6"/>
  <c r="L1154" i="6"/>
  <c r="M1154" i="6"/>
  <c r="K1155" i="6"/>
  <c r="L1155" i="6"/>
  <c r="M1155" i="6"/>
  <c r="K1156" i="6"/>
  <c r="L1156" i="6"/>
  <c r="M1156" i="6"/>
  <c r="K1157" i="6"/>
  <c r="H1157" i="6" s="1"/>
  <c r="L1157" i="6"/>
  <c r="M1157" i="6"/>
  <c r="K1158" i="6"/>
  <c r="L1158" i="6"/>
  <c r="M1158" i="6"/>
  <c r="K1159" i="6"/>
  <c r="L1159" i="6"/>
  <c r="M1159" i="6"/>
  <c r="K1160" i="6"/>
  <c r="L1160" i="6"/>
  <c r="M1160" i="6"/>
  <c r="K1161" i="6"/>
  <c r="H1161" i="6" s="1"/>
  <c r="L1161" i="6"/>
  <c r="M1161" i="6"/>
  <c r="K1162" i="6"/>
  <c r="L1162" i="6"/>
  <c r="H1162" i="6" s="1"/>
  <c r="M1162" i="6"/>
  <c r="K1163" i="6"/>
  <c r="L1163" i="6"/>
  <c r="M1163" i="6"/>
  <c r="H1163" i="6" s="1"/>
  <c r="K1164" i="6"/>
  <c r="L1164" i="6"/>
  <c r="M1164" i="6"/>
  <c r="K1165" i="6"/>
  <c r="L1165" i="6"/>
  <c r="M1165" i="6"/>
  <c r="K1166" i="6"/>
  <c r="L1166" i="6"/>
  <c r="M1166" i="6"/>
  <c r="K1167" i="6"/>
  <c r="L1167" i="6"/>
  <c r="M1167" i="6"/>
  <c r="H1167" i="6" s="1"/>
  <c r="K1168" i="6"/>
  <c r="L1168" i="6"/>
  <c r="M1168" i="6"/>
  <c r="K1169" i="6"/>
  <c r="H1169" i="6" s="1"/>
  <c r="L1169" i="6"/>
  <c r="M1169" i="6"/>
  <c r="K1170" i="6"/>
  <c r="L1170" i="6"/>
  <c r="M1170" i="6"/>
  <c r="K1171" i="6"/>
  <c r="L1171" i="6"/>
  <c r="M1171" i="6"/>
  <c r="H1171" i="6" s="1"/>
  <c r="K1172" i="6"/>
  <c r="L1172" i="6"/>
  <c r="M1172" i="6"/>
  <c r="K1173" i="6"/>
  <c r="H1173" i="6" s="1"/>
  <c r="L1173" i="6"/>
  <c r="M1173" i="6"/>
  <c r="K1174" i="6"/>
  <c r="L1174" i="6"/>
  <c r="H1174" i="6" s="1"/>
  <c r="M1174" i="6"/>
  <c r="K1175" i="6"/>
  <c r="L1175" i="6"/>
  <c r="M1175" i="6"/>
  <c r="K1176" i="6"/>
  <c r="L1176" i="6"/>
  <c r="M1176" i="6"/>
  <c r="K1177" i="6"/>
  <c r="H1177" i="6" s="1"/>
  <c r="L1177" i="6"/>
  <c r="M1177" i="6"/>
  <c r="K1178" i="6"/>
  <c r="L1178" i="6"/>
  <c r="H1178" i="6" s="1"/>
  <c r="M1178" i="6"/>
  <c r="K1179" i="6"/>
  <c r="L1179" i="6"/>
  <c r="M1179" i="6"/>
  <c r="H1179" i="6" s="1"/>
  <c r="K1180" i="6"/>
  <c r="L1180" i="6"/>
  <c r="M1180" i="6"/>
  <c r="K1181" i="6"/>
  <c r="H1181" i="6" s="1"/>
  <c r="L1181" i="6"/>
  <c r="M1181" i="6"/>
  <c r="K1182" i="6"/>
  <c r="L1182" i="6"/>
  <c r="H1182" i="6" s="1"/>
  <c r="M1182" i="6"/>
  <c r="K1183" i="6"/>
  <c r="L1183" i="6"/>
  <c r="M1183" i="6"/>
  <c r="H1183" i="6" s="1"/>
  <c r="K1184" i="6"/>
  <c r="L1184" i="6"/>
  <c r="M1184" i="6"/>
  <c r="K1185" i="6"/>
  <c r="H1185" i="6" s="1"/>
  <c r="L1185" i="6"/>
  <c r="M1185" i="6"/>
  <c r="K1186" i="6"/>
  <c r="L1186" i="6"/>
  <c r="M1186" i="6"/>
  <c r="K1187" i="6"/>
  <c r="L1187" i="6"/>
  <c r="M1187" i="6"/>
  <c r="H1187" i="6" s="1"/>
  <c r="K1188" i="6"/>
  <c r="L1188" i="6"/>
  <c r="M1188" i="6"/>
  <c r="K1189" i="6"/>
  <c r="H1189" i="6" s="1"/>
  <c r="L1189" i="6"/>
  <c r="M1189" i="6"/>
  <c r="K1190" i="6"/>
  <c r="L1190" i="6"/>
  <c r="M1190" i="6"/>
  <c r="K1191" i="6"/>
  <c r="L1191" i="6"/>
  <c r="M1191" i="6"/>
  <c r="H1191" i="6" s="1"/>
  <c r="K1192" i="6"/>
  <c r="L1192" i="6"/>
  <c r="M1192" i="6"/>
  <c r="K1193" i="6"/>
  <c r="H1193" i="6" s="1"/>
  <c r="L1193" i="6"/>
  <c r="M1193" i="6"/>
  <c r="K1194" i="6"/>
  <c r="L1194" i="6"/>
  <c r="M1194" i="6"/>
  <c r="K1195" i="6"/>
  <c r="L1195" i="6"/>
  <c r="M1195" i="6"/>
  <c r="H1195" i="6" s="1"/>
  <c r="K1196" i="6"/>
  <c r="L1196" i="6"/>
  <c r="M1196" i="6"/>
  <c r="K1197" i="6"/>
  <c r="H1197" i="6" s="1"/>
  <c r="L1197" i="6"/>
  <c r="M1197" i="6"/>
  <c r="K1198" i="6"/>
  <c r="L1198" i="6"/>
  <c r="M1198" i="6"/>
  <c r="K1199" i="6"/>
  <c r="L1199" i="6"/>
  <c r="M1199" i="6"/>
  <c r="K1200" i="6"/>
  <c r="L1200" i="6"/>
  <c r="M1200" i="6"/>
  <c r="K1201" i="6"/>
  <c r="H1201" i="6" s="1"/>
  <c r="L1201" i="6"/>
  <c r="M1201" i="6"/>
  <c r="K1202" i="6"/>
  <c r="L1202" i="6"/>
  <c r="M1202" i="6"/>
  <c r="K1203" i="6"/>
  <c r="L1203" i="6"/>
  <c r="M1203" i="6"/>
  <c r="H1203" i="6" s="1"/>
  <c r="K1204" i="6"/>
  <c r="L1204" i="6"/>
  <c r="M1204" i="6"/>
  <c r="K1205" i="6"/>
  <c r="H1205" i="6" s="1"/>
  <c r="L1205" i="6"/>
  <c r="M1205" i="6"/>
  <c r="K1206" i="6"/>
  <c r="L1206" i="6"/>
  <c r="H1206" i="6" s="1"/>
  <c r="M1206" i="6"/>
  <c r="K1207" i="6"/>
  <c r="L1207" i="6"/>
  <c r="M1207" i="6"/>
  <c r="K1208" i="6"/>
  <c r="L1208" i="6"/>
  <c r="M1208" i="6"/>
  <c r="K1209" i="6"/>
  <c r="H1209" i="6" s="1"/>
  <c r="L1209" i="6"/>
  <c r="M1209" i="6"/>
  <c r="K1210" i="6"/>
  <c r="L1210" i="6"/>
  <c r="M1210" i="6"/>
  <c r="K1211" i="6"/>
  <c r="L1211" i="6"/>
  <c r="M1211" i="6"/>
  <c r="H1211" i="6" s="1"/>
  <c r="K1212" i="6"/>
  <c r="L1212" i="6"/>
  <c r="M1212" i="6"/>
  <c r="K1213" i="6"/>
  <c r="H1213" i="6" s="1"/>
  <c r="L1213" i="6"/>
  <c r="M1213" i="6"/>
  <c r="K1214" i="6"/>
  <c r="L1214" i="6"/>
  <c r="M1214" i="6"/>
  <c r="K1215" i="6"/>
  <c r="L1215" i="6"/>
  <c r="M1215" i="6"/>
  <c r="H1215" i="6" s="1"/>
  <c r="K1216" i="6"/>
  <c r="L1216" i="6"/>
  <c r="M1216" i="6"/>
  <c r="K1217" i="6"/>
  <c r="H1217" i="6" s="1"/>
  <c r="L1217" i="6"/>
  <c r="M1217" i="6"/>
  <c r="K1218" i="6"/>
  <c r="L1218" i="6"/>
  <c r="H1218" i="6" s="1"/>
  <c r="M1218" i="6"/>
  <c r="K1219" i="6"/>
  <c r="L1219" i="6"/>
  <c r="M1219" i="6"/>
  <c r="H1219" i="6" s="1"/>
  <c r="K1220" i="6"/>
  <c r="L1220" i="6"/>
  <c r="M1220" i="6"/>
  <c r="K1221" i="6"/>
  <c r="H1221" i="6" s="1"/>
  <c r="L1221" i="6"/>
  <c r="M1221" i="6"/>
  <c r="K1222" i="6"/>
  <c r="L1222" i="6"/>
  <c r="M1222" i="6"/>
  <c r="K1223" i="6"/>
  <c r="L1223" i="6"/>
  <c r="M1223" i="6"/>
  <c r="K1224" i="6"/>
  <c r="L1224" i="6"/>
  <c r="M1224" i="6"/>
  <c r="K1225" i="6"/>
  <c r="H1225" i="6" s="1"/>
  <c r="L1225" i="6"/>
  <c r="M1225" i="6"/>
  <c r="K1226" i="6"/>
  <c r="L1226" i="6"/>
  <c r="H1226" i="6" s="1"/>
  <c r="M1226" i="6"/>
  <c r="K1227" i="6"/>
  <c r="L1227" i="6"/>
  <c r="M1227" i="6"/>
  <c r="H1227" i="6" s="1"/>
  <c r="K1228" i="6"/>
  <c r="L1228" i="6"/>
  <c r="M1228" i="6"/>
  <c r="H1228" i="6"/>
  <c r="K1229" i="6"/>
  <c r="L1229" i="6"/>
  <c r="M1229" i="6"/>
  <c r="K1230" i="6"/>
  <c r="H1230" i="6" s="1"/>
  <c r="L1230" i="6"/>
  <c r="M1230" i="6"/>
  <c r="K1231" i="6"/>
  <c r="L1231" i="6"/>
  <c r="M1231" i="6"/>
  <c r="K1232" i="6"/>
  <c r="L1232" i="6"/>
  <c r="M1232" i="6"/>
  <c r="H1232" i="6" s="1"/>
  <c r="K1233" i="6"/>
  <c r="L1233" i="6"/>
  <c r="M1233" i="6"/>
  <c r="K1234" i="6"/>
  <c r="H1234" i="6" s="1"/>
  <c r="L1234" i="6"/>
  <c r="M1234" i="6"/>
  <c r="K1235" i="6"/>
  <c r="L1235" i="6"/>
  <c r="M1235" i="6"/>
  <c r="K1236" i="6"/>
  <c r="L1236" i="6"/>
  <c r="M1236" i="6"/>
  <c r="H1236" i="6" s="1"/>
  <c r="K1237" i="6"/>
  <c r="L1237" i="6"/>
  <c r="M1237" i="6"/>
  <c r="K1238" i="6"/>
  <c r="L1238" i="6"/>
  <c r="M1238" i="6"/>
  <c r="K1239" i="6"/>
  <c r="L1239" i="6"/>
  <c r="H1239" i="6" s="1"/>
  <c r="M1239" i="6"/>
  <c r="K1240" i="6"/>
  <c r="L1240" i="6"/>
  <c r="M1240" i="6"/>
  <c r="H1240" i="6" s="1"/>
  <c r="K1241" i="6"/>
  <c r="L1241" i="6"/>
  <c r="M1241" i="6"/>
  <c r="K1242" i="6"/>
  <c r="L1242" i="6"/>
  <c r="M1242" i="6"/>
  <c r="K1243" i="6"/>
  <c r="L1243" i="6"/>
  <c r="M1243" i="6"/>
  <c r="K1244" i="6"/>
  <c r="L1244" i="6"/>
  <c r="M1244" i="6"/>
  <c r="K1245" i="6"/>
  <c r="L1245" i="6"/>
  <c r="M1245" i="6"/>
  <c r="K1246" i="6"/>
  <c r="L1246" i="6"/>
  <c r="M1246" i="6"/>
  <c r="K1247" i="6"/>
  <c r="L1247" i="6"/>
  <c r="H1247" i="6" s="1"/>
  <c r="M1247" i="6"/>
  <c r="K1248" i="6"/>
  <c r="L1248" i="6"/>
  <c r="M1248" i="6"/>
  <c r="H1248" i="6" s="1"/>
  <c r="K1249" i="6"/>
  <c r="L1249" i="6"/>
  <c r="M1249" i="6"/>
  <c r="M2" i="6"/>
  <c r="H2" i="6" s="1"/>
  <c r="L2" i="6"/>
  <c r="K2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0" i="6"/>
  <c r="A1191" i="6"/>
  <c r="A1192" i="6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A1251" i="6"/>
  <c r="A1252" i="6"/>
  <c r="A1253" i="6"/>
  <c r="A1254" i="6"/>
  <c r="A1255" i="6"/>
  <c r="A1256" i="6"/>
  <c r="A1257" i="6"/>
  <c r="A1258" i="6"/>
  <c r="A1259" i="6"/>
  <c r="A1260" i="6"/>
  <c r="A1261" i="6"/>
  <c r="A1262" i="6"/>
  <c r="A1263" i="6"/>
  <c r="A1264" i="6"/>
  <c r="A1265" i="6"/>
  <c r="A1266" i="6"/>
  <c r="A1267" i="6"/>
  <c r="A1268" i="6"/>
  <c r="A1269" i="6"/>
  <c r="A1270" i="6"/>
  <c r="A1271" i="6"/>
  <c r="A1272" i="6"/>
  <c r="A1273" i="6"/>
  <c r="A1274" i="6"/>
  <c r="A1275" i="6"/>
  <c r="A1276" i="6"/>
  <c r="A1277" i="6"/>
  <c r="A1278" i="6"/>
  <c r="A1279" i="6"/>
  <c r="A1280" i="6"/>
  <c r="A1281" i="6"/>
  <c r="A1282" i="6"/>
  <c r="A1283" i="6"/>
  <c r="A1284" i="6"/>
  <c r="A1285" i="6"/>
  <c r="A1286" i="6"/>
  <c r="A1287" i="6"/>
  <c r="A1288" i="6"/>
  <c r="A1289" i="6"/>
  <c r="A1290" i="6"/>
  <c r="A1291" i="6"/>
  <c r="A1292" i="6"/>
  <c r="A1293" i="6"/>
  <c r="A1294" i="6"/>
  <c r="A1295" i="6"/>
  <c r="A1296" i="6"/>
  <c r="A1297" i="6"/>
  <c r="A1298" i="6"/>
  <c r="A1299" i="6"/>
  <c r="A1300" i="6"/>
  <c r="A1301" i="6"/>
  <c r="A1302" i="6"/>
  <c r="A1303" i="6"/>
  <c r="A1304" i="6"/>
  <c r="A1305" i="6"/>
  <c r="A1306" i="6"/>
  <c r="A1307" i="6"/>
  <c r="A1308" i="6"/>
  <c r="A1309" i="6"/>
  <c r="A1310" i="6"/>
  <c r="A1311" i="6"/>
  <c r="A1312" i="6"/>
  <c r="A1313" i="6"/>
  <c r="A1314" i="6"/>
  <c r="A1315" i="6"/>
  <c r="A1316" i="6"/>
  <c r="A1317" i="6"/>
  <c r="A1318" i="6"/>
  <c r="A1319" i="6"/>
  <c r="A1320" i="6"/>
  <c r="A1321" i="6"/>
  <c r="A1322" i="6"/>
  <c r="A1323" i="6"/>
  <c r="A1324" i="6"/>
  <c r="A1325" i="6"/>
  <c r="A1326" i="6"/>
  <c r="A1327" i="6"/>
  <c r="A1328" i="6"/>
  <c r="A1329" i="6"/>
  <c r="A1330" i="6"/>
  <c r="A1331" i="6"/>
  <c r="A1332" i="6"/>
  <c r="A1333" i="6"/>
  <c r="A1334" i="6"/>
  <c r="A1335" i="6"/>
  <c r="A1336" i="6"/>
  <c r="A1337" i="6"/>
  <c r="A1338" i="6"/>
  <c r="A1339" i="6"/>
  <c r="A1340" i="6"/>
  <c r="A1341" i="6"/>
  <c r="A1342" i="6"/>
  <c r="A1343" i="6"/>
  <c r="A1344" i="6"/>
  <c r="A1345" i="6"/>
  <c r="A1346" i="6"/>
  <c r="A1347" i="6"/>
  <c r="A1348" i="6"/>
  <c r="A1349" i="6"/>
  <c r="A1350" i="6"/>
  <c r="A1351" i="6"/>
  <c r="A1352" i="6"/>
  <c r="A1353" i="6"/>
  <c r="A1354" i="6"/>
  <c r="A1355" i="6"/>
  <c r="A1356" i="6"/>
  <c r="A1357" i="6"/>
  <c r="A1358" i="6"/>
  <c r="A1359" i="6"/>
  <c r="A1360" i="6"/>
  <c r="A1361" i="6"/>
  <c r="A1362" i="6"/>
  <c r="A1363" i="6"/>
  <c r="A1364" i="6"/>
  <c r="A1365" i="6"/>
  <c r="A1366" i="6"/>
  <c r="A1367" i="6"/>
  <c r="A1368" i="6"/>
  <c r="A1369" i="6"/>
  <c r="A1370" i="6"/>
  <c r="A1371" i="6"/>
  <c r="A1372" i="6"/>
  <c r="A1373" i="6"/>
  <c r="A1374" i="6"/>
  <c r="A1375" i="6"/>
  <c r="A1376" i="6"/>
  <c r="A1377" i="6"/>
  <c r="A1378" i="6"/>
  <c r="A1379" i="6"/>
  <c r="A1380" i="6"/>
  <c r="A1381" i="6"/>
  <c r="A1382" i="6"/>
  <c r="A1383" i="6"/>
  <c r="A1384" i="6"/>
  <c r="A1385" i="6"/>
  <c r="A1386" i="6"/>
  <c r="A1387" i="6"/>
  <c r="A1388" i="6"/>
  <c r="A1389" i="6"/>
  <c r="A1390" i="6"/>
  <c r="A1391" i="6"/>
  <c r="A1392" i="6"/>
  <c r="A1393" i="6"/>
  <c r="A1394" i="6"/>
  <c r="A1395" i="6"/>
  <c r="A1396" i="6"/>
  <c r="A1397" i="6"/>
  <c r="A1398" i="6"/>
  <c r="A1399" i="6"/>
  <c r="A1400" i="6"/>
  <c r="A1401" i="6"/>
  <c r="A1402" i="6"/>
  <c r="A1403" i="6"/>
  <c r="A1404" i="6"/>
  <c r="A1405" i="6"/>
  <c r="A1406" i="6"/>
  <c r="A1407" i="6"/>
  <c r="A1408" i="6"/>
  <c r="A1409" i="6"/>
  <c r="A1410" i="6"/>
  <c r="A1411" i="6"/>
  <c r="A1412" i="6"/>
  <c r="A1413" i="6"/>
  <c r="A1414" i="6"/>
  <c r="A1415" i="6"/>
  <c r="A1416" i="6"/>
  <c r="A1417" i="6"/>
  <c r="A1418" i="6"/>
  <c r="A1419" i="6"/>
  <c r="A1420" i="6"/>
  <c r="A1421" i="6"/>
  <c r="A1422" i="6"/>
  <c r="A1423" i="6"/>
  <c r="A1424" i="6"/>
  <c r="A1425" i="6"/>
  <c r="A1426" i="6"/>
  <c r="A1427" i="6"/>
  <c r="A1428" i="6"/>
  <c r="A1429" i="6"/>
  <c r="A1430" i="6"/>
  <c r="A1431" i="6"/>
  <c r="A1432" i="6"/>
  <c r="A1433" i="6"/>
  <c r="A1434" i="6"/>
  <c r="A1435" i="6"/>
  <c r="A1436" i="6"/>
  <c r="A1437" i="6"/>
  <c r="A1438" i="6"/>
  <c r="A1439" i="6"/>
  <c r="A1440" i="6"/>
  <c r="A1441" i="6"/>
  <c r="A1442" i="6"/>
  <c r="A1443" i="6"/>
  <c r="A1444" i="6"/>
  <c r="A1445" i="6"/>
  <c r="A1446" i="6"/>
  <c r="A1447" i="6"/>
  <c r="A1448" i="6"/>
  <c r="A1449" i="6"/>
  <c r="A1450" i="6"/>
  <c r="A1451" i="6"/>
  <c r="A1452" i="6"/>
  <c r="A1453" i="6"/>
  <c r="A1454" i="6"/>
  <c r="A1455" i="6"/>
  <c r="A1456" i="6"/>
  <c r="A1457" i="6"/>
  <c r="A1458" i="6"/>
  <c r="A1459" i="6"/>
  <c r="A1460" i="6"/>
  <c r="A1461" i="6"/>
  <c r="A1462" i="6"/>
  <c r="A1463" i="6"/>
  <c r="A1464" i="6"/>
  <c r="A1465" i="6"/>
  <c r="A1466" i="6"/>
  <c r="A1467" i="6"/>
  <c r="A1468" i="6"/>
  <c r="A1469" i="6"/>
  <c r="A1470" i="6"/>
  <c r="A1471" i="6"/>
  <c r="A1472" i="6"/>
  <c r="A1473" i="6"/>
  <c r="A1474" i="6"/>
  <c r="A1475" i="6"/>
  <c r="A1476" i="6"/>
  <c r="A1477" i="6"/>
  <c r="A1478" i="6"/>
  <c r="A1479" i="6"/>
  <c r="A1480" i="6"/>
  <c r="A1481" i="6"/>
  <c r="A1482" i="6"/>
  <c r="A1483" i="6"/>
  <c r="A1484" i="6"/>
  <c r="A1485" i="6"/>
  <c r="A1486" i="6"/>
  <c r="A1487" i="6"/>
  <c r="A1488" i="6"/>
  <c r="A1489" i="6"/>
  <c r="A1490" i="6"/>
  <c r="A1491" i="6"/>
  <c r="A1492" i="6"/>
  <c r="A1493" i="6"/>
  <c r="A1494" i="6"/>
  <c r="A1495" i="6"/>
  <c r="A1496" i="6"/>
  <c r="A1497" i="6"/>
  <c r="A1498" i="6"/>
  <c r="A1499" i="6"/>
  <c r="A1500" i="6"/>
  <c r="A1501" i="6"/>
  <c r="A1502" i="6"/>
  <c r="A1503" i="6"/>
  <c r="A1504" i="6"/>
  <c r="A1505" i="6"/>
  <c r="A1506" i="6"/>
  <c r="A1507" i="6"/>
  <c r="A1508" i="6"/>
  <c r="A1509" i="6"/>
  <c r="A1510" i="6"/>
  <c r="A1511" i="6"/>
  <c r="A1512" i="6"/>
  <c r="A1513" i="6"/>
  <c r="A1514" i="6"/>
  <c r="A1515" i="6"/>
  <c r="A1516" i="6"/>
  <c r="A1517" i="6"/>
  <c r="A1518" i="6"/>
  <c r="A1519" i="6"/>
  <c r="A1520" i="6"/>
  <c r="A1521" i="6"/>
  <c r="A1522" i="6"/>
  <c r="A1523" i="6"/>
  <c r="A1524" i="6"/>
  <c r="A1525" i="6"/>
  <c r="A1526" i="6"/>
  <c r="A1527" i="6"/>
  <c r="A1528" i="6"/>
  <c r="A1529" i="6"/>
  <c r="A1530" i="6"/>
  <c r="A1531" i="6"/>
  <c r="A1532" i="6"/>
  <c r="A1533" i="6"/>
  <c r="A1534" i="6"/>
  <c r="A1535" i="6"/>
  <c r="A1536" i="6"/>
  <c r="A1537" i="6"/>
  <c r="A1538" i="6"/>
  <c r="A1539" i="6"/>
  <c r="A1540" i="6"/>
  <c r="A1541" i="6"/>
  <c r="A1542" i="6"/>
  <c r="A1543" i="6"/>
  <c r="A1544" i="6"/>
  <c r="A1545" i="6"/>
  <c r="A1546" i="6"/>
  <c r="A1547" i="6"/>
  <c r="A1548" i="6"/>
  <c r="A1549" i="6"/>
  <c r="A1550" i="6"/>
  <c r="A1551" i="6"/>
  <c r="A1552" i="6"/>
  <c r="A1553" i="6"/>
  <c r="A1554" i="6"/>
  <c r="A1555" i="6"/>
  <c r="A1556" i="6"/>
  <c r="A1557" i="6"/>
  <c r="A1558" i="6"/>
  <c r="A1559" i="6"/>
  <c r="A1560" i="6"/>
  <c r="A1561" i="6"/>
  <c r="A1562" i="6"/>
  <c r="A1563" i="6"/>
  <c r="A1564" i="6"/>
  <c r="A1565" i="6"/>
  <c r="A1566" i="6"/>
  <c r="A1567" i="6"/>
  <c r="A1568" i="6"/>
  <c r="A1569" i="6"/>
  <c r="A1570" i="6"/>
  <c r="A1571" i="6"/>
  <c r="A1572" i="6"/>
  <c r="A1573" i="6"/>
  <c r="A1574" i="6"/>
  <c r="A1575" i="6"/>
  <c r="A1576" i="6"/>
  <c r="A1577" i="6"/>
  <c r="A1578" i="6"/>
  <c r="A1579" i="6"/>
  <c r="A1580" i="6"/>
  <c r="A1581" i="6"/>
  <c r="A1582" i="6"/>
  <c r="A1583" i="6"/>
  <c r="A1584" i="6"/>
  <c r="A1585" i="6"/>
  <c r="A1586" i="6"/>
  <c r="A1587" i="6"/>
  <c r="A1588" i="6"/>
  <c r="A1589" i="6"/>
  <c r="A1590" i="6"/>
  <c r="A1591" i="6"/>
  <c r="A1592" i="6"/>
  <c r="A1593" i="6"/>
  <c r="A1594" i="6"/>
  <c r="A1595" i="6"/>
  <c r="A1596" i="6"/>
  <c r="A1597" i="6"/>
  <c r="A1598" i="6"/>
  <c r="A1599" i="6"/>
  <c r="A1600" i="6"/>
  <c r="A1601" i="6"/>
  <c r="A1602" i="6"/>
  <c r="A1603" i="6"/>
  <c r="A1604" i="6"/>
  <c r="A1605" i="6"/>
  <c r="A1606" i="6"/>
  <c r="A1607" i="6"/>
  <c r="A1608" i="6"/>
  <c r="A1609" i="6"/>
  <c r="A1610" i="6"/>
  <c r="A1611" i="6"/>
  <c r="A1612" i="6"/>
  <c r="A1613" i="6"/>
  <c r="A1614" i="6"/>
  <c r="A1615" i="6"/>
  <c r="A1616" i="6"/>
  <c r="A1617" i="6"/>
  <c r="A1618" i="6"/>
  <c r="A1619" i="6"/>
  <c r="A1620" i="6"/>
  <c r="A1621" i="6"/>
  <c r="A1622" i="6"/>
  <c r="A1623" i="6"/>
  <c r="A1624" i="6"/>
  <c r="A1625" i="6"/>
  <c r="A1626" i="6"/>
  <c r="A1627" i="6"/>
  <c r="A1628" i="6"/>
  <c r="A1629" i="6"/>
  <c r="A1630" i="6"/>
  <c r="A1631" i="6"/>
  <c r="A1632" i="6"/>
  <c r="A1633" i="6"/>
  <c r="A1634" i="6"/>
  <c r="A1635" i="6"/>
  <c r="A1636" i="6"/>
  <c r="A1637" i="6"/>
  <c r="A1638" i="6"/>
  <c r="A1639" i="6"/>
  <c r="A1640" i="6"/>
  <c r="A1641" i="6"/>
  <c r="A1642" i="6"/>
  <c r="A1643" i="6"/>
  <c r="A1644" i="6"/>
  <c r="A1645" i="6"/>
  <c r="A1646" i="6"/>
  <c r="A1647" i="6"/>
  <c r="A1648" i="6"/>
  <c r="A1649" i="6"/>
  <c r="A1650" i="6"/>
  <c r="A1651" i="6"/>
  <c r="A1652" i="6"/>
  <c r="A1653" i="6"/>
  <c r="A1654" i="6"/>
  <c r="A1655" i="6"/>
  <c r="A1656" i="6"/>
  <c r="A1657" i="6"/>
  <c r="A1658" i="6"/>
  <c r="A1659" i="6"/>
  <c r="A1660" i="6"/>
  <c r="A1661" i="6"/>
  <c r="A1662" i="6"/>
  <c r="A1663" i="6"/>
  <c r="A1664" i="6"/>
  <c r="A1665" i="6"/>
  <c r="A1666" i="6"/>
  <c r="A1667" i="6"/>
  <c r="A1668" i="6"/>
  <c r="A1669" i="6"/>
  <c r="A1670" i="6"/>
  <c r="A1671" i="6"/>
  <c r="A1672" i="6"/>
  <c r="A1673" i="6"/>
  <c r="A1674" i="6"/>
  <c r="A1675" i="6"/>
  <c r="A1676" i="6"/>
  <c r="A1677" i="6"/>
  <c r="A1678" i="6"/>
  <c r="A1679" i="6"/>
  <c r="A1680" i="6"/>
  <c r="A1681" i="6"/>
  <c r="A1682" i="6"/>
  <c r="A1683" i="6"/>
  <c r="A1684" i="6"/>
  <c r="A1685" i="6"/>
  <c r="A1686" i="6"/>
  <c r="A1687" i="6"/>
  <c r="A1688" i="6"/>
  <c r="A1689" i="6"/>
  <c r="A1690" i="6"/>
  <c r="A1691" i="6"/>
  <c r="A1692" i="6"/>
  <c r="A1693" i="6"/>
  <c r="A1694" i="6"/>
  <c r="A1695" i="6"/>
  <c r="A1696" i="6"/>
  <c r="A1697" i="6"/>
  <c r="A1698" i="6"/>
  <c r="A1699" i="6"/>
  <c r="A1700" i="6"/>
  <c r="A1701" i="6"/>
  <c r="A1702" i="6"/>
  <c r="A1703" i="6"/>
  <c r="A1704" i="6"/>
  <c r="A1705" i="6"/>
  <c r="A1706" i="6"/>
  <c r="A1707" i="6"/>
  <c r="A1708" i="6"/>
  <c r="A1709" i="6"/>
  <c r="A1710" i="6"/>
  <c r="A1711" i="6"/>
  <c r="A1712" i="6"/>
  <c r="A1713" i="6"/>
  <c r="A1714" i="6"/>
  <c r="A1715" i="6"/>
  <c r="A1716" i="6"/>
  <c r="A1717" i="6"/>
  <c r="A1718" i="6"/>
  <c r="A1719" i="6"/>
  <c r="A1720" i="6"/>
  <c r="A1721" i="6"/>
  <c r="A1722" i="6"/>
  <c r="A1723" i="6"/>
  <c r="A1724" i="6"/>
  <c r="A1725" i="6"/>
  <c r="A1726" i="6"/>
  <c r="A1727" i="6"/>
  <c r="A1728" i="6"/>
  <c r="A1729" i="6"/>
  <c r="A1730" i="6"/>
  <c r="A1731" i="6"/>
  <c r="A1732" i="6"/>
  <c r="A1733" i="6"/>
  <c r="A1734" i="6"/>
  <c r="A1735" i="6"/>
  <c r="A1736" i="6"/>
  <c r="A1737" i="6"/>
  <c r="A1738" i="6"/>
  <c r="A1739" i="6"/>
  <c r="A1740" i="6"/>
  <c r="A1741" i="6"/>
  <c r="A1742" i="6"/>
  <c r="A1743" i="6"/>
  <c r="A1744" i="6"/>
  <c r="A1745" i="6"/>
  <c r="A1746" i="6"/>
  <c r="A1747" i="6"/>
  <c r="A1748" i="6"/>
  <c r="A1749" i="6"/>
  <c r="A1750" i="6"/>
  <c r="A1751" i="6"/>
  <c r="A1752" i="6"/>
  <c r="A1753" i="6"/>
  <c r="A1754" i="6"/>
  <c r="A1755" i="6"/>
  <c r="A1756" i="6"/>
  <c r="A1757" i="6"/>
  <c r="A1758" i="6"/>
  <c r="A1759" i="6"/>
  <c r="A1760" i="6"/>
  <c r="A1761" i="6"/>
  <c r="A1762" i="6"/>
  <c r="A1763" i="6"/>
  <c r="A1764" i="6"/>
  <c r="A1765" i="6"/>
  <c r="A1766" i="6"/>
  <c r="A1767" i="6"/>
  <c r="A1768" i="6"/>
  <c r="A1769" i="6"/>
  <c r="A1770" i="6"/>
  <c r="A1771" i="6"/>
  <c r="A1772" i="6"/>
  <c r="A1773" i="6"/>
  <c r="A1774" i="6"/>
  <c r="A1775" i="6"/>
  <c r="A1776" i="6"/>
  <c r="A1777" i="6"/>
  <c r="A1778" i="6"/>
  <c r="A1779" i="6"/>
  <c r="A1780" i="6"/>
  <c r="A1781" i="6"/>
  <c r="A1782" i="6"/>
  <c r="A1783" i="6"/>
  <c r="A1784" i="6"/>
  <c r="A1785" i="6"/>
  <c r="A1786" i="6"/>
  <c r="A1787" i="6"/>
  <c r="A1788" i="6"/>
  <c r="A1789" i="6"/>
  <c r="A1790" i="6"/>
  <c r="A1791" i="6"/>
  <c r="A1792" i="6"/>
  <c r="A1793" i="6"/>
  <c r="A1794" i="6"/>
  <c r="A1795" i="6"/>
  <c r="A1796" i="6"/>
  <c r="A1797" i="6"/>
  <c r="A1798" i="6"/>
  <c r="A1799" i="6"/>
  <c r="A1800" i="6"/>
  <c r="A1801" i="6"/>
  <c r="A1802" i="6"/>
  <c r="A1803" i="6"/>
  <c r="A1804" i="6"/>
  <c r="V23" i="12"/>
  <c r="W23" i="12" s="1"/>
  <c r="AF23" i="12" s="1"/>
  <c r="AD23" i="12"/>
  <c r="V5" i="12"/>
  <c r="W5" i="12" s="1"/>
  <c r="V17" i="12"/>
  <c r="W17" i="12" s="1"/>
  <c r="V11" i="12"/>
  <c r="W11" i="12"/>
  <c r="AF11" i="12" s="1"/>
  <c r="AD5" i="12"/>
  <c r="Q5" i="12"/>
  <c r="Q23" i="12"/>
  <c r="Q17" i="12"/>
  <c r="Q11" i="12"/>
  <c r="Q30" i="13"/>
  <c r="Q1" i="13"/>
  <c r="A30" i="13"/>
  <c r="A1" i="13"/>
  <c r="AD8" i="3"/>
  <c r="AG11" i="12"/>
  <c r="AD11" i="12"/>
  <c r="Y14" i="3"/>
  <c r="AB14" i="3"/>
  <c r="Y15" i="3"/>
  <c r="AF15" i="3" s="1"/>
  <c r="AB15" i="3"/>
  <c r="Y16" i="3"/>
  <c r="AE16" i="3" s="1"/>
  <c r="AB16" i="3"/>
  <c r="Y17" i="3"/>
  <c r="AG17" i="3" s="1"/>
  <c r="AB17" i="3"/>
  <c r="Y18" i="3"/>
  <c r="AF18" i="3" s="1"/>
  <c r="AB18" i="3"/>
  <c r="Y19" i="3"/>
  <c r="AE19" i="3" s="1"/>
  <c r="AB19" i="3"/>
  <c r="Y20" i="3"/>
  <c r="AB20" i="3"/>
  <c r="Y21" i="3"/>
  <c r="AG21" i="3" s="1"/>
  <c r="AB21" i="3"/>
  <c r="Y22" i="3"/>
  <c r="AG22" i="3" s="1"/>
  <c r="AB22" i="3"/>
  <c r="Y23" i="3"/>
  <c r="AE23" i="3" s="1"/>
  <c r="AB23" i="3"/>
  <c r="Y24" i="3"/>
  <c r="AE24" i="3" s="1"/>
  <c r="AB24" i="3"/>
  <c r="Y25" i="3"/>
  <c r="AF25" i="3" s="1"/>
  <c r="AB25" i="3"/>
  <c r="Y26" i="3"/>
  <c r="AG26" i="3" s="1"/>
  <c r="AB26" i="3"/>
  <c r="Y27" i="3"/>
  <c r="AF27" i="3" s="1"/>
  <c r="AB27" i="3"/>
  <c r="Y28" i="3"/>
  <c r="AG28" i="3" s="1"/>
  <c r="AB28" i="3"/>
  <c r="Y29" i="3"/>
  <c r="AB29" i="3"/>
  <c r="Y30" i="3"/>
  <c r="AG30" i="3" s="1"/>
  <c r="AB30" i="3"/>
  <c r="Y31" i="3"/>
  <c r="AB31" i="3"/>
  <c r="Y32" i="3"/>
  <c r="AB32" i="3"/>
  <c r="Y33" i="3"/>
  <c r="AB33" i="3"/>
  <c r="Y34" i="3"/>
  <c r="AG34" i="3" s="1"/>
  <c r="AB34" i="3"/>
  <c r="Y35" i="3"/>
  <c r="AG35" i="3" s="1"/>
  <c r="AB35" i="3"/>
  <c r="Y36" i="3"/>
  <c r="AF36" i="3" s="1"/>
  <c r="AB36" i="3"/>
  <c r="Y37" i="3"/>
  <c r="AF37" i="3" s="1"/>
  <c r="AB37" i="3"/>
  <c r="Y38" i="3"/>
  <c r="AF38" i="3" s="1"/>
  <c r="AB38" i="3"/>
  <c r="Y39" i="3"/>
  <c r="AF39" i="3" s="1"/>
  <c r="AB39" i="3"/>
  <c r="Y40" i="3"/>
  <c r="AG40" i="3" s="1"/>
  <c r="AB40" i="3"/>
  <c r="Y41" i="3"/>
  <c r="AE41" i="3" s="1"/>
  <c r="AB41" i="3"/>
  <c r="Y42" i="3"/>
  <c r="AG42" i="3" s="1"/>
  <c r="AB42" i="3"/>
  <c r="Y43" i="3"/>
  <c r="AG43" i="3" s="1"/>
  <c r="AB43" i="3"/>
  <c r="Y44" i="3"/>
  <c r="AB44" i="3"/>
  <c r="Y45" i="3"/>
  <c r="AG45" i="3" s="1"/>
  <c r="AB45" i="3"/>
  <c r="Y46" i="3"/>
  <c r="AF46" i="3" s="1"/>
  <c r="AB46" i="3"/>
  <c r="Y47" i="3"/>
  <c r="AG47" i="3" s="1"/>
  <c r="AB47" i="3"/>
  <c r="Y48" i="3"/>
  <c r="AE48" i="3" s="1"/>
  <c r="AB48" i="3"/>
  <c r="Y49" i="3"/>
  <c r="AF49" i="3" s="1"/>
  <c r="AB49" i="3"/>
  <c r="Y50" i="3"/>
  <c r="AE50" i="3" s="1"/>
  <c r="AB50" i="3"/>
  <c r="Y51" i="3"/>
  <c r="AF51" i="3" s="1"/>
  <c r="AB51" i="3"/>
  <c r="Y52" i="3"/>
  <c r="AG52" i="3" s="1"/>
  <c r="AB52" i="3"/>
  <c r="Y53" i="3"/>
  <c r="AE53" i="3" s="1"/>
  <c r="AB53" i="3"/>
  <c r="Y54" i="3"/>
  <c r="AE54" i="3" s="1"/>
  <c r="AB54" i="3"/>
  <c r="Y55" i="3"/>
  <c r="AS55" i="3" s="1"/>
  <c r="AB55" i="3"/>
  <c r="Y56" i="3"/>
  <c r="AF56" i="3" s="1"/>
  <c r="AB56" i="3"/>
  <c r="Y57" i="3"/>
  <c r="AG57" i="3" s="1"/>
  <c r="AB57" i="3"/>
  <c r="Y58" i="3"/>
  <c r="AG58" i="3" s="1"/>
  <c r="AB58" i="3"/>
  <c r="Y59" i="3"/>
  <c r="AS59" i="3" s="1"/>
  <c r="AB59" i="3"/>
  <c r="Y60" i="3"/>
  <c r="AG60" i="3" s="1"/>
  <c r="AB60" i="3"/>
  <c r="Y61" i="3"/>
  <c r="AF61" i="3" s="1"/>
  <c r="AB61" i="3"/>
  <c r="Y62" i="3"/>
  <c r="AE62" i="3" s="1"/>
  <c r="AB62" i="3"/>
  <c r="Y63" i="3"/>
  <c r="AS63" i="3" s="1"/>
  <c r="AB63" i="3"/>
  <c r="Y64" i="3"/>
  <c r="AF64" i="3" s="1"/>
  <c r="AB64" i="3"/>
  <c r="Y65" i="3"/>
  <c r="AG65" i="3" s="1"/>
  <c r="AB65" i="3"/>
  <c r="Y66" i="3"/>
  <c r="AE66" i="3" s="1"/>
  <c r="AB66" i="3"/>
  <c r="Y67" i="3"/>
  <c r="AS67" i="3" s="1"/>
  <c r="AB67" i="3"/>
  <c r="Y68" i="3"/>
  <c r="AE68" i="3" s="1"/>
  <c r="AB68" i="3"/>
  <c r="AD17" i="12"/>
  <c r="G106" i="4"/>
  <c r="G34" i="4"/>
  <c r="AH3" i="12"/>
  <c r="BA3" i="3"/>
  <c r="X118" i="3"/>
  <c r="AV118" i="3" s="1"/>
  <c r="X117" i="3"/>
  <c r="AP117" i="3" s="1"/>
  <c r="X116" i="3"/>
  <c r="AV116" i="3" s="1"/>
  <c r="X115" i="3"/>
  <c r="AP115" i="3" s="1"/>
  <c r="X114" i="3"/>
  <c r="AH114" i="3" s="1"/>
  <c r="AW114" i="3" s="1"/>
  <c r="X113" i="3"/>
  <c r="AH113" i="3" s="1"/>
  <c r="AW113" i="3" s="1"/>
  <c r="X112" i="3"/>
  <c r="AH112" i="3" s="1"/>
  <c r="AW112" i="3" s="1"/>
  <c r="X111" i="3"/>
  <c r="AP111" i="3" s="1"/>
  <c r="X110" i="3"/>
  <c r="AP110" i="3" s="1"/>
  <c r="X109" i="3"/>
  <c r="AH109" i="3" s="1"/>
  <c r="AW109" i="3" s="1"/>
  <c r="X108" i="3"/>
  <c r="AH108" i="3" s="1"/>
  <c r="AW108" i="3" s="1"/>
  <c r="X107" i="3"/>
  <c r="AV107" i="3" s="1"/>
  <c r="X106" i="3"/>
  <c r="AP106" i="3" s="1"/>
  <c r="X105" i="3"/>
  <c r="AP105" i="3" s="1"/>
  <c r="X104" i="3"/>
  <c r="AH104" i="3" s="1"/>
  <c r="AW104" i="3" s="1"/>
  <c r="X103" i="3"/>
  <c r="AH103" i="3" s="1"/>
  <c r="AW103" i="3" s="1"/>
  <c r="X102" i="3"/>
  <c r="AH102" i="3" s="1"/>
  <c r="AW102" i="3" s="1"/>
  <c r="X101" i="3"/>
  <c r="X100" i="3"/>
  <c r="AH100" i="3" s="1"/>
  <c r="AW100" i="3" s="1"/>
  <c r="X99" i="3"/>
  <c r="AP99" i="3" s="1"/>
  <c r="X98" i="3"/>
  <c r="X97" i="3"/>
  <c r="AV97" i="3" s="1"/>
  <c r="X96" i="3"/>
  <c r="AH96" i="3" s="1"/>
  <c r="AW96" i="3" s="1"/>
  <c r="X95" i="3"/>
  <c r="AV95" i="3" s="1"/>
  <c r="X94" i="3"/>
  <c r="AP94" i="3" s="1"/>
  <c r="X93" i="3"/>
  <c r="AP93" i="3" s="1"/>
  <c r="X92" i="3"/>
  <c r="AH92" i="3" s="1"/>
  <c r="AW92" i="3" s="1"/>
  <c r="X91" i="3"/>
  <c r="AH91" i="3" s="1"/>
  <c r="AW91" i="3" s="1"/>
  <c r="X90" i="3"/>
  <c r="X89" i="3"/>
  <c r="AP89" i="3" s="1"/>
  <c r="X88" i="3"/>
  <c r="AH88" i="3" s="1"/>
  <c r="AW88" i="3" s="1"/>
  <c r="X87" i="3"/>
  <c r="AP87" i="3" s="1"/>
  <c r="X86" i="3"/>
  <c r="AH86" i="3" s="1"/>
  <c r="AW86" i="3" s="1"/>
  <c r="X84" i="3"/>
  <c r="X83" i="3"/>
  <c r="AH83" i="3" s="1"/>
  <c r="AW83" i="3" s="1"/>
  <c r="X82" i="3"/>
  <c r="AP82" i="3" s="1"/>
  <c r="X81" i="3"/>
  <c r="AP81" i="3" s="1"/>
  <c r="X79" i="3"/>
  <c r="AV79" i="3" s="1"/>
  <c r="X78" i="3"/>
  <c r="X77" i="3"/>
  <c r="AP77" i="3" s="1"/>
  <c r="X76" i="3"/>
  <c r="AP76" i="3" s="1"/>
  <c r="X75" i="3"/>
  <c r="AV75" i="3" s="1"/>
  <c r="X74" i="3"/>
  <c r="AP74" i="3" s="1"/>
  <c r="X73" i="3"/>
  <c r="AP73" i="3" s="1"/>
  <c r="X72" i="3"/>
  <c r="AP72" i="3" s="1"/>
  <c r="X71" i="3"/>
  <c r="AH71" i="3" s="1"/>
  <c r="AW71" i="3" s="1"/>
  <c r="X70" i="3"/>
  <c r="AH70" i="3" s="1"/>
  <c r="AW70" i="3" s="1"/>
  <c r="X69" i="3"/>
  <c r="AV69" i="3" s="1"/>
  <c r="X68" i="3"/>
  <c r="AV68" i="3" s="1"/>
  <c r="X67" i="3"/>
  <c r="AV67" i="3" s="1"/>
  <c r="X66" i="3"/>
  <c r="AP66" i="3" s="1"/>
  <c r="X65" i="3"/>
  <c r="AH65" i="3" s="1"/>
  <c r="AW65" i="3" s="1"/>
  <c r="X64" i="3"/>
  <c r="X63" i="3"/>
  <c r="AP63" i="3" s="1"/>
  <c r="X62" i="3"/>
  <c r="AV62" i="3" s="1"/>
  <c r="X61" i="3"/>
  <c r="AH61" i="3" s="1"/>
  <c r="AW61" i="3" s="1"/>
  <c r="X60" i="3"/>
  <c r="X59" i="3"/>
  <c r="AP59" i="3" s="1"/>
  <c r="X58" i="3"/>
  <c r="AH58" i="3" s="1"/>
  <c r="AW58" i="3" s="1"/>
  <c r="X57" i="3"/>
  <c r="AV57" i="3" s="1"/>
  <c r="X56" i="3"/>
  <c r="X55" i="3"/>
  <c r="AP55" i="3" s="1"/>
  <c r="X54" i="3"/>
  <c r="X53" i="3"/>
  <c r="AV53" i="3" s="1"/>
  <c r="X52" i="3"/>
  <c r="AH52" i="3" s="1"/>
  <c r="AW52" i="3" s="1"/>
  <c r="X51" i="3"/>
  <c r="X50" i="3"/>
  <c r="AV50" i="3" s="1"/>
  <c r="X49" i="3"/>
  <c r="AH49" i="3" s="1"/>
  <c r="AW49" i="3" s="1"/>
  <c r="X48" i="3"/>
  <c r="AV48" i="3" s="1"/>
  <c r="X47" i="3"/>
  <c r="AH47" i="3" s="1"/>
  <c r="AW47" i="3" s="1"/>
  <c r="X46" i="3"/>
  <c r="AV46" i="3" s="1"/>
  <c r="X45" i="3"/>
  <c r="AH45" i="3" s="1"/>
  <c r="AW45" i="3" s="1"/>
  <c r="X44" i="3"/>
  <c r="AH44" i="3" s="1"/>
  <c r="AW44" i="3" s="1"/>
  <c r="X43" i="3"/>
  <c r="AV43" i="3" s="1"/>
  <c r="X42" i="3"/>
  <c r="AV42" i="3" s="1"/>
  <c r="X41" i="3"/>
  <c r="AV41" i="3" s="1"/>
  <c r="X40" i="3"/>
  <c r="AV40" i="3" s="1"/>
  <c r="X39" i="3"/>
  <c r="AH39" i="3" s="1"/>
  <c r="AW39" i="3" s="1"/>
  <c r="X38" i="3"/>
  <c r="AV38" i="3" s="1"/>
  <c r="X37" i="3"/>
  <c r="AH37" i="3" s="1"/>
  <c r="AW37" i="3" s="1"/>
  <c r="X36" i="3"/>
  <c r="AV36" i="3" s="1"/>
  <c r="X35" i="3"/>
  <c r="AP35" i="3" s="1"/>
  <c r="X34" i="3"/>
  <c r="AP34" i="3" s="1"/>
  <c r="X33" i="3"/>
  <c r="AP33" i="3" s="1"/>
  <c r="X32" i="3"/>
  <c r="AH32" i="3" s="1"/>
  <c r="AW32" i="3" s="1"/>
  <c r="X31" i="3"/>
  <c r="AV31" i="3" s="1"/>
  <c r="X30" i="3"/>
  <c r="AP30" i="3" s="1"/>
  <c r="X29" i="3"/>
  <c r="AP29" i="3" s="1"/>
  <c r="X28" i="3"/>
  <c r="AV28" i="3" s="1"/>
  <c r="X27" i="3"/>
  <c r="AP27" i="3" s="1"/>
  <c r="X26" i="3"/>
  <c r="AH26" i="3" s="1"/>
  <c r="AW26" i="3" s="1"/>
  <c r="X25" i="3"/>
  <c r="AV25" i="3" s="1"/>
  <c r="X24" i="3"/>
  <c r="AP24" i="3" s="1"/>
  <c r="X23" i="3"/>
  <c r="AH23" i="3" s="1"/>
  <c r="AW23" i="3" s="1"/>
  <c r="X22" i="3"/>
  <c r="AH22" i="3" s="1"/>
  <c r="AW22" i="3" s="1"/>
  <c r="X21" i="3"/>
  <c r="AV21" i="3" s="1"/>
  <c r="X20" i="3"/>
  <c r="AP20" i="3" s="1"/>
  <c r="X19" i="3"/>
  <c r="AP19" i="3" s="1"/>
  <c r="X18" i="3"/>
  <c r="AV18" i="3" s="1"/>
  <c r="X17" i="3"/>
  <c r="AH17" i="3" s="1"/>
  <c r="AW17" i="3" s="1"/>
  <c r="X16" i="3"/>
  <c r="AV16" i="3" s="1"/>
  <c r="X15" i="3"/>
  <c r="AH15" i="3" s="1"/>
  <c r="AW15" i="3" s="1"/>
  <c r="X14" i="3"/>
  <c r="AV14" i="3" s="1"/>
  <c r="BL29" i="3"/>
  <c r="BL28" i="3"/>
  <c r="BL7" i="3"/>
  <c r="BL8" i="3"/>
  <c r="BL9" i="3"/>
  <c r="BL10" i="3"/>
  <c r="BL11" i="3"/>
  <c r="BL12" i="3"/>
  <c r="BL13" i="3"/>
  <c r="BL14" i="3"/>
  <c r="BL15" i="3"/>
  <c r="BL16" i="3"/>
  <c r="BL17" i="3"/>
  <c r="BL18" i="3"/>
  <c r="BL19" i="3"/>
  <c r="BL20" i="3"/>
  <c r="BL21" i="3"/>
  <c r="BL22" i="3"/>
  <c r="BL23" i="3"/>
  <c r="BL24" i="3"/>
  <c r="BL25" i="3"/>
  <c r="BL26" i="3"/>
  <c r="BL27" i="3"/>
  <c r="BL6" i="3"/>
  <c r="AA119" i="3"/>
  <c r="AA118" i="3"/>
  <c r="AA117" i="3"/>
  <c r="AA116" i="3"/>
  <c r="AA115" i="3"/>
  <c r="AA114" i="3"/>
  <c r="AA113" i="3"/>
  <c r="AA112" i="3"/>
  <c r="AA111" i="3"/>
  <c r="AA110" i="3"/>
  <c r="AA109" i="3"/>
  <c r="AA108" i="3"/>
  <c r="AA107" i="3"/>
  <c r="AA106" i="3"/>
  <c r="AA105" i="3"/>
  <c r="AA104" i="3"/>
  <c r="AA103" i="3"/>
  <c r="AA102" i="3"/>
  <c r="AA101" i="3"/>
  <c r="AA100" i="3"/>
  <c r="AA99" i="3"/>
  <c r="AA98" i="3"/>
  <c r="AA97" i="3"/>
  <c r="AA96" i="3"/>
  <c r="AA95" i="3"/>
  <c r="AA94" i="3"/>
  <c r="AA93" i="3"/>
  <c r="AA92" i="3"/>
  <c r="AA91" i="3"/>
  <c r="AA90" i="3"/>
  <c r="AA89" i="3"/>
  <c r="AA88" i="3"/>
  <c r="AA87" i="3"/>
  <c r="AA86" i="3"/>
  <c r="AA85" i="3"/>
  <c r="Z85" i="3" s="1"/>
  <c r="AC85" i="3" s="1"/>
  <c r="AA84" i="3"/>
  <c r="AA83" i="3"/>
  <c r="AA82" i="3"/>
  <c r="AA81" i="3"/>
  <c r="AA80" i="3"/>
  <c r="X80" i="3" s="1"/>
  <c r="AH80" i="3" s="1"/>
  <c r="AW80" i="3" s="1"/>
  <c r="AA79" i="3"/>
  <c r="AA78" i="3"/>
  <c r="AA77" i="3"/>
  <c r="AA76" i="3"/>
  <c r="AA75" i="3"/>
  <c r="AA74" i="3"/>
  <c r="AA73" i="3"/>
  <c r="AA72" i="3"/>
  <c r="AA71" i="3"/>
  <c r="AA70" i="3"/>
  <c r="AA69" i="3"/>
  <c r="AA68" i="3"/>
  <c r="AA67" i="3"/>
  <c r="AA66" i="3"/>
  <c r="AA6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A7" i="3"/>
  <c r="Z118" i="3"/>
  <c r="AC118" i="3"/>
  <c r="AB118" i="3"/>
  <c r="Y118" i="3"/>
  <c r="AE118" i="3" s="1"/>
  <c r="Z117" i="3"/>
  <c r="AC117" i="3"/>
  <c r="AB117" i="3"/>
  <c r="Y117" i="3"/>
  <c r="AG117" i="3" s="1"/>
  <c r="Z116" i="3"/>
  <c r="AC116" i="3"/>
  <c r="AB116" i="3"/>
  <c r="Y116" i="3"/>
  <c r="AG116" i="3" s="1"/>
  <c r="Z115" i="3"/>
  <c r="AC115" i="3"/>
  <c r="AB115" i="3"/>
  <c r="Y115" i="3"/>
  <c r="AS115" i="3" s="1"/>
  <c r="Z114" i="3"/>
  <c r="AC114" i="3"/>
  <c r="AB114" i="3"/>
  <c r="Y114" i="3"/>
  <c r="AG114" i="3" s="1"/>
  <c r="Z113" i="3"/>
  <c r="AC113" i="3"/>
  <c r="AB113" i="3"/>
  <c r="Y113" i="3"/>
  <c r="Z112" i="3"/>
  <c r="AC112" i="3"/>
  <c r="AB112" i="3"/>
  <c r="Y112" i="3"/>
  <c r="Z111" i="3"/>
  <c r="AC111" i="3"/>
  <c r="AB111" i="3"/>
  <c r="Y111" i="3"/>
  <c r="AE111" i="3" s="1"/>
  <c r="Z110" i="3"/>
  <c r="AC110" i="3"/>
  <c r="AB110" i="3"/>
  <c r="Y110" i="3"/>
  <c r="Z109" i="3"/>
  <c r="AC109" i="3"/>
  <c r="AB109" i="3"/>
  <c r="Y109" i="3"/>
  <c r="AF109" i="3" s="1"/>
  <c r="Z108" i="3"/>
  <c r="AC108" i="3"/>
  <c r="AB108" i="3"/>
  <c r="Y108" i="3"/>
  <c r="AE108" i="3" s="1"/>
  <c r="Z107" i="3"/>
  <c r="AC107" i="3"/>
  <c r="AB107" i="3"/>
  <c r="Y107" i="3"/>
  <c r="Z106" i="3"/>
  <c r="AC106" i="3"/>
  <c r="AB106" i="3"/>
  <c r="Y106" i="3"/>
  <c r="AE106" i="3" s="1"/>
  <c r="Z105" i="3"/>
  <c r="AC105" i="3"/>
  <c r="AB105" i="3"/>
  <c r="Y105" i="3"/>
  <c r="AS105" i="3" s="1"/>
  <c r="Z104" i="3"/>
  <c r="AC104" i="3"/>
  <c r="AB104" i="3"/>
  <c r="Y104" i="3"/>
  <c r="AE104" i="3" s="1"/>
  <c r="Z103" i="3"/>
  <c r="AC103" i="3"/>
  <c r="AB103" i="3"/>
  <c r="Y103" i="3"/>
  <c r="AG103" i="3" s="1"/>
  <c r="Z102" i="3"/>
  <c r="AC102" i="3"/>
  <c r="AB102" i="3"/>
  <c r="Y102" i="3"/>
  <c r="AF102" i="3" s="1"/>
  <c r="Z101" i="3"/>
  <c r="AC101" i="3"/>
  <c r="AB101" i="3"/>
  <c r="Y101" i="3"/>
  <c r="AE101" i="3" s="1"/>
  <c r="Z100" i="3"/>
  <c r="AC100" i="3"/>
  <c r="AB100" i="3"/>
  <c r="Y100" i="3"/>
  <c r="AF100" i="3" s="1"/>
  <c r="Z99" i="3"/>
  <c r="AC99" i="3"/>
  <c r="AB99" i="3"/>
  <c r="Y99" i="3"/>
  <c r="AG99" i="3" s="1"/>
  <c r="Z98" i="3"/>
  <c r="AC98" i="3"/>
  <c r="AB98" i="3"/>
  <c r="Y98" i="3"/>
  <c r="AF98" i="3" s="1"/>
  <c r="Z97" i="3"/>
  <c r="AC97" i="3"/>
  <c r="AB97" i="3"/>
  <c r="Y97" i="3"/>
  <c r="AE97" i="3" s="1"/>
  <c r="Z96" i="3"/>
  <c r="AC96" i="3"/>
  <c r="AB96" i="3"/>
  <c r="Y96" i="3"/>
  <c r="AG96" i="3" s="1"/>
  <c r="Z95" i="3"/>
  <c r="AC95" i="3"/>
  <c r="AB95" i="3"/>
  <c r="Y95" i="3"/>
  <c r="AG95" i="3" s="1"/>
  <c r="Z94" i="3"/>
  <c r="AC94" i="3"/>
  <c r="AB94" i="3"/>
  <c r="Y94" i="3"/>
  <c r="AG94" i="3" s="1"/>
  <c r="Z93" i="3"/>
  <c r="AC93" i="3"/>
  <c r="AB93" i="3"/>
  <c r="Y93" i="3"/>
  <c r="AG93" i="3" s="1"/>
  <c r="Z92" i="3"/>
  <c r="AC92" i="3"/>
  <c r="AB92" i="3"/>
  <c r="Y92" i="3"/>
  <c r="AF92" i="3" s="1"/>
  <c r="Z91" i="3"/>
  <c r="AC91" i="3"/>
  <c r="AB91" i="3"/>
  <c r="Y91" i="3"/>
  <c r="AG91" i="3" s="1"/>
  <c r="Z90" i="3"/>
  <c r="AC90" i="3"/>
  <c r="AB90" i="3"/>
  <c r="Y90" i="3"/>
  <c r="AF90" i="3" s="1"/>
  <c r="Z89" i="3"/>
  <c r="AC89" i="3"/>
  <c r="AB89" i="3"/>
  <c r="Y89" i="3"/>
  <c r="AS89" i="3" s="1"/>
  <c r="Z88" i="3"/>
  <c r="AC88" i="3"/>
  <c r="AB88" i="3"/>
  <c r="Y88" i="3"/>
  <c r="AE88" i="3" s="1"/>
  <c r="Z87" i="3"/>
  <c r="AC87" i="3"/>
  <c r="AB87" i="3"/>
  <c r="Y87" i="3"/>
  <c r="AE87" i="3" s="1"/>
  <c r="Z86" i="3"/>
  <c r="AC86" i="3"/>
  <c r="AB86" i="3"/>
  <c r="Y86" i="3"/>
  <c r="AG86" i="3" s="1"/>
  <c r="Z84" i="3"/>
  <c r="AC84" i="3"/>
  <c r="AB84" i="3"/>
  <c r="Y84" i="3"/>
  <c r="AE84" i="3" s="1"/>
  <c r="Z83" i="3"/>
  <c r="AC83" i="3"/>
  <c r="AB83" i="3"/>
  <c r="Y83" i="3"/>
  <c r="Z82" i="3"/>
  <c r="AC82" i="3"/>
  <c r="AB82" i="3"/>
  <c r="Y82" i="3"/>
  <c r="AG82" i="3" s="1"/>
  <c r="Z81" i="3"/>
  <c r="AC81" i="3"/>
  <c r="AB81" i="3"/>
  <c r="Y81" i="3"/>
  <c r="Z79" i="3"/>
  <c r="AC79" i="3"/>
  <c r="AB79" i="3"/>
  <c r="Y79" i="3"/>
  <c r="AG79" i="3" s="1"/>
  <c r="Z78" i="3"/>
  <c r="AC78" i="3"/>
  <c r="AB78" i="3"/>
  <c r="Y78" i="3"/>
  <c r="Z77" i="3"/>
  <c r="AC77" i="3"/>
  <c r="AB77" i="3"/>
  <c r="Y77" i="3"/>
  <c r="Z76" i="3"/>
  <c r="AC76" i="3"/>
  <c r="AB76" i="3"/>
  <c r="Y76" i="3"/>
  <c r="AE76" i="3" s="1"/>
  <c r="Z75" i="3"/>
  <c r="AC75" i="3"/>
  <c r="AB75" i="3"/>
  <c r="Y75" i="3"/>
  <c r="AF75" i="3" s="1"/>
  <c r="Z74" i="3"/>
  <c r="AC74" i="3"/>
  <c r="AB74" i="3"/>
  <c r="Y74" i="3"/>
  <c r="AF74" i="3" s="1"/>
  <c r="Z73" i="3"/>
  <c r="AC73" i="3"/>
  <c r="AB73" i="3"/>
  <c r="Y73" i="3"/>
  <c r="AE73" i="3" s="1"/>
  <c r="Z72" i="3"/>
  <c r="AC72" i="3"/>
  <c r="AB72" i="3"/>
  <c r="Y72" i="3"/>
  <c r="AS72" i="3" s="1"/>
  <c r="Z71" i="3"/>
  <c r="AC71" i="3"/>
  <c r="AB71" i="3"/>
  <c r="Y71" i="3"/>
  <c r="AG71" i="3" s="1"/>
  <c r="Z70" i="3"/>
  <c r="AC70" i="3"/>
  <c r="AB70" i="3"/>
  <c r="Y70" i="3"/>
  <c r="AG70" i="3" s="1"/>
  <c r="Z69" i="3"/>
  <c r="AC69" i="3"/>
  <c r="AB69" i="3"/>
  <c r="Y69" i="3"/>
  <c r="Z68" i="3"/>
  <c r="AC68" i="3"/>
  <c r="Z67" i="3"/>
  <c r="AC67" i="3"/>
  <c r="Z66" i="3"/>
  <c r="AC66" i="3"/>
  <c r="Z65" i="3"/>
  <c r="AC65" i="3"/>
  <c r="Z64" i="3"/>
  <c r="AC64" i="3"/>
  <c r="Z63" i="3"/>
  <c r="AC63" i="3"/>
  <c r="Z62" i="3"/>
  <c r="AC62" i="3"/>
  <c r="Z61" i="3"/>
  <c r="AC61" i="3"/>
  <c r="Z60" i="3"/>
  <c r="AC60" i="3"/>
  <c r="Z59" i="3"/>
  <c r="AC59" i="3"/>
  <c r="Z58" i="3"/>
  <c r="AC58" i="3"/>
  <c r="Z57" i="3"/>
  <c r="AC57" i="3"/>
  <c r="Z56" i="3"/>
  <c r="AC56" i="3"/>
  <c r="Z55" i="3"/>
  <c r="AC55" i="3"/>
  <c r="Z54" i="3"/>
  <c r="AC54" i="3"/>
  <c r="Z53" i="3"/>
  <c r="AC53" i="3"/>
  <c r="Z52" i="3"/>
  <c r="AC52" i="3"/>
  <c r="Z51" i="3"/>
  <c r="AC51" i="3"/>
  <c r="Z50" i="3"/>
  <c r="AC50" i="3"/>
  <c r="Z49" i="3"/>
  <c r="AC49" i="3"/>
  <c r="Z48" i="3"/>
  <c r="AC48" i="3"/>
  <c r="Z47" i="3"/>
  <c r="AC47" i="3"/>
  <c r="Z46" i="3"/>
  <c r="AC46" i="3"/>
  <c r="Z45" i="3"/>
  <c r="AC45" i="3"/>
  <c r="Z44" i="3"/>
  <c r="AC44" i="3"/>
  <c r="Z43" i="3"/>
  <c r="AC43" i="3"/>
  <c r="Z42" i="3"/>
  <c r="AC42" i="3"/>
  <c r="Z41" i="3"/>
  <c r="AC41" i="3"/>
  <c r="Z40" i="3"/>
  <c r="AC40" i="3"/>
  <c r="Z39" i="3"/>
  <c r="AC39" i="3"/>
  <c r="Z38" i="3"/>
  <c r="AC38" i="3"/>
  <c r="Z37" i="3"/>
  <c r="AC37" i="3"/>
  <c r="Z36" i="3"/>
  <c r="AC36" i="3"/>
  <c r="Z35" i="3"/>
  <c r="AC35" i="3"/>
  <c r="Z34" i="3"/>
  <c r="AC34" i="3"/>
  <c r="Z33" i="3"/>
  <c r="AC33" i="3"/>
  <c r="Z32" i="3"/>
  <c r="AC32" i="3"/>
  <c r="Z31" i="3"/>
  <c r="AC31" i="3"/>
  <c r="Z30" i="3"/>
  <c r="AC30" i="3"/>
  <c r="Z29" i="3"/>
  <c r="AC29" i="3"/>
  <c r="Z28" i="3"/>
  <c r="AC28" i="3"/>
  <c r="Z27" i="3"/>
  <c r="AC27" i="3"/>
  <c r="Z26" i="3"/>
  <c r="AC26" i="3"/>
  <c r="Z25" i="3"/>
  <c r="AC25" i="3"/>
  <c r="Z24" i="3"/>
  <c r="AC24" i="3"/>
  <c r="Z23" i="3"/>
  <c r="AC23" i="3"/>
  <c r="Z22" i="3"/>
  <c r="AC22" i="3"/>
  <c r="Z21" i="3"/>
  <c r="AC21" i="3"/>
  <c r="Z20" i="3"/>
  <c r="AC20" i="3"/>
  <c r="Z19" i="3"/>
  <c r="AC19" i="3"/>
  <c r="Z18" i="3"/>
  <c r="AC18" i="3"/>
  <c r="Z17" i="3"/>
  <c r="AC17" i="3"/>
  <c r="Z16" i="3"/>
  <c r="AC16" i="3"/>
  <c r="Z15" i="3"/>
  <c r="AC15" i="3"/>
  <c r="Z14" i="3"/>
  <c r="AC14" i="3"/>
  <c r="AD119" i="3"/>
  <c r="AD118" i="3"/>
  <c r="AD117" i="3"/>
  <c r="AD116" i="3"/>
  <c r="AD115" i="3"/>
  <c r="AD114" i="3"/>
  <c r="AD113" i="3"/>
  <c r="AD112" i="3"/>
  <c r="AD111" i="3"/>
  <c r="AD110" i="3"/>
  <c r="AD109" i="3"/>
  <c r="AD108" i="3"/>
  <c r="AD107" i="3"/>
  <c r="AD106" i="3"/>
  <c r="AD105" i="3"/>
  <c r="AD104" i="3"/>
  <c r="AD103" i="3"/>
  <c r="AD102" i="3"/>
  <c r="AD101" i="3"/>
  <c r="AD100" i="3"/>
  <c r="AD99" i="3"/>
  <c r="AD98" i="3"/>
  <c r="AD97" i="3"/>
  <c r="AD96" i="3"/>
  <c r="AD95" i="3"/>
  <c r="AD94" i="3"/>
  <c r="AD93" i="3"/>
  <c r="AD92" i="3"/>
  <c r="AD91" i="3"/>
  <c r="AD90" i="3"/>
  <c r="AD89" i="3"/>
  <c r="AD88" i="3"/>
  <c r="AD87" i="3"/>
  <c r="AD86" i="3"/>
  <c r="AD85" i="3"/>
  <c r="AD84" i="3"/>
  <c r="AD83" i="3"/>
  <c r="AD82" i="3"/>
  <c r="AD81" i="3"/>
  <c r="AD79" i="3"/>
  <c r="AD78" i="3"/>
  <c r="AD77" i="3"/>
  <c r="AD76" i="3"/>
  <c r="AD75" i="3"/>
  <c r="AD74" i="3"/>
  <c r="AD73" i="3"/>
  <c r="AD72" i="3"/>
  <c r="AD71" i="3"/>
  <c r="AD70" i="3"/>
  <c r="AD69" i="3"/>
  <c r="AD68" i="3"/>
  <c r="AD67" i="3"/>
  <c r="AD66" i="3"/>
  <c r="AD65" i="3"/>
  <c r="AD64" i="3"/>
  <c r="AD63" i="3"/>
  <c r="AD62" i="3"/>
  <c r="AD61" i="3"/>
  <c r="AD60" i="3"/>
  <c r="AD59" i="3"/>
  <c r="AD58" i="3"/>
  <c r="AD57" i="3"/>
  <c r="AD56" i="3"/>
  <c r="AD55" i="3"/>
  <c r="AD54" i="3"/>
  <c r="AD53" i="3"/>
  <c r="AD52" i="3"/>
  <c r="AD51" i="3"/>
  <c r="AD50" i="3"/>
  <c r="AD49" i="3"/>
  <c r="AD48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7" i="3"/>
  <c r="AD6" i="3"/>
  <c r="J27" i="12"/>
  <c r="AA27" i="12" s="1"/>
  <c r="J28" i="12"/>
  <c r="AA28" i="12" s="1"/>
  <c r="J21" i="12"/>
  <c r="AA21" i="12" s="1"/>
  <c r="J22" i="12"/>
  <c r="U22" i="12" s="1"/>
  <c r="W6" i="3"/>
  <c r="W7" i="3"/>
  <c r="AK7" i="3"/>
  <c r="AL7" i="3" s="1"/>
  <c r="AK8" i="3"/>
  <c r="AR8" i="3" s="1"/>
  <c r="W8" i="3"/>
  <c r="AK9" i="3"/>
  <c r="BA9" i="3" s="1"/>
  <c r="W9" i="3"/>
  <c r="AK10" i="3"/>
  <c r="AL10" i="3" s="1"/>
  <c r="W10" i="3"/>
  <c r="AK11" i="3"/>
  <c r="AQ11" i="3" s="1"/>
  <c r="W11" i="3"/>
  <c r="AK12" i="3"/>
  <c r="AN12" i="3" s="1"/>
  <c r="W12" i="3"/>
  <c r="AK13" i="3"/>
  <c r="AL13" i="3" s="1"/>
  <c r="W13" i="3"/>
  <c r="AK14" i="3"/>
  <c r="BA14" i="3" s="1"/>
  <c r="W14" i="3"/>
  <c r="H14" i="3"/>
  <c r="AK15" i="3"/>
  <c r="AX15" i="3" s="1"/>
  <c r="W15" i="3"/>
  <c r="H15" i="3"/>
  <c r="AK16" i="3"/>
  <c r="AR16" i="3" s="1"/>
  <c r="W16" i="3"/>
  <c r="H16" i="3"/>
  <c r="AK17" i="3"/>
  <c r="W17" i="3"/>
  <c r="H17" i="3"/>
  <c r="AK18" i="3"/>
  <c r="W18" i="3"/>
  <c r="H18" i="3"/>
  <c r="AK19" i="3"/>
  <c r="AQ19" i="3" s="1"/>
  <c r="W19" i="3"/>
  <c r="H19" i="3"/>
  <c r="AK20" i="3"/>
  <c r="AN20" i="3" s="1"/>
  <c r="W20" i="3"/>
  <c r="H20" i="3"/>
  <c r="AK21" i="3"/>
  <c r="AX21" i="3" s="1"/>
  <c r="W21" i="3"/>
  <c r="H21" i="3"/>
  <c r="AK22" i="3"/>
  <c r="AL22" i="3" s="1"/>
  <c r="W22" i="3"/>
  <c r="H22" i="3"/>
  <c r="AK23" i="3"/>
  <c r="BA23" i="3" s="1"/>
  <c r="W23" i="3"/>
  <c r="H23" i="3"/>
  <c r="AK24" i="3"/>
  <c r="AY24" i="3" s="1"/>
  <c r="W24" i="3"/>
  <c r="H24" i="3"/>
  <c r="AK25" i="3"/>
  <c r="BA25" i="3" s="1"/>
  <c r="W25" i="3"/>
  <c r="H25" i="3"/>
  <c r="AM25" i="3" s="1"/>
  <c r="AK26" i="3"/>
  <c r="W26" i="3"/>
  <c r="H26" i="3"/>
  <c r="AK27" i="3"/>
  <c r="AY27" i="3" s="1"/>
  <c r="W27" i="3"/>
  <c r="H27" i="3"/>
  <c r="AK28" i="3"/>
  <c r="AR28" i="3" s="1"/>
  <c r="W28" i="3"/>
  <c r="H28" i="3"/>
  <c r="AK29" i="3"/>
  <c r="AR29" i="3" s="1"/>
  <c r="W29" i="3"/>
  <c r="H29" i="3"/>
  <c r="AK30" i="3"/>
  <c r="W30" i="3"/>
  <c r="H30" i="3"/>
  <c r="AK31" i="3"/>
  <c r="AX31" i="3" s="1"/>
  <c r="W31" i="3"/>
  <c r="H31" i="3"/>
  <c r="AK32" i="3"/>
  <c r="AN32" i="3" s="1"/>
  <c r="W32" i="3"/>
  <c r="H32" i="3"/>
  <c r="AK33" i="3"/>
  <c r="AL33" i="3" s="1"/>
  <c r="W33" i="3"/>
  <c r="H33" i="3"/>
  <c r="AK34" i="3"/>
  <c r="AY34" i="3" s="1"/>
  <c r="W34" i="3"/>
  <c r="H34" i="3"/>
  <c r="AK35" i="3"/>
  <c r="AR35" i="3" s="1"/>
  <c r="W35" i="3"/>
  <c r="H35" i="3"/>
  <c r="AK36" i="3"/>
  <c r="AR36" i="3" s="1"/>
  <c r="W36" i="3"/>
  <c r="H36" i="3"/>
  <c r="AK37" i="3"/>
  <c r="AL37" i="3" s="1"/>
  <c r="W37" i="3"/>
  <c r="H37" i="3"/>
  <c r="AM37" i="3" s="1"/>
  <c r="AK38" i="3"/>
  <c r="W38" i="3"/>
  <c r="H38" i="3"/>
  <c r="AK39" i="3"/>
  <c r="AL39" i="3" s="1"/>
  <c r="W39" i="3"/>
  <c r="H39" i="3"/>
  <c r="AK40" i="3"/>
  <c r="AY40" i="3" s="1"/>
  <c r="W40" i="3"/>
  <c r="H40" i="3"/>
  <c r="AK41" i="3"/>
  <c r="AY41" i="3" s="1"/>
  <c r="W41" i="3"/>
  <c r="H41" i="3"/>
  <c r="AK42" i="3"/>
  <c r="AQ42" i="3" s="1"/>
  <c r="W42" i="3"/>
  <c r="H42" i="3"/>
  <c r="AK43" i="3"/>
  <c r="AX43" i="3" s="1"/>
  <c r="W43" i="3"/>
  <c r="H43" i="3"/>
  <c r="AK44" i="3"/>
  <c r="BA44" i="3" s="1"/>
  <c r="W44" i="3"/>
  <c r="H44" i="3"/>
  <c r="AK45" i="3"/>
  <c r="AL45" i="3" s="1"/>
  <c r="W45" i="3"/>
  <c r="H45" i="3"/>
  <c r="AK46" i="3"/>
  <c r="AN46" i="3" s="1"/>
  <c r="W46" i="3"/>
  <c r="H46" i="3"/>
  <c r="AK47" i="3"/>
  <c r="AQ47" i="3" s="1"/>
  <c r="W47" i="3"/>
  <c r="H47" i="3"/>
  <c r="AK48" i="3"/>
  <c r="BA48" i="3" s="1"/>
  <c r="W48" i="3"/>
  <c r="H48" i="3"/>
  <c r="AK49" i="3"/>
  <c r="AR49" i="3" s="1"/>
  <c r="W49" i="3"/>
  <c r="H49" i="3"/>
  <c r="AK50" i="3"/>
  <c r="W50" i="3"/>
  <c r="H50" i="3"/>
  <c r="AK51" i="3"/>
  <c r="AL51" i="3" s="1"/>
  <c r="W51" i="3"/>
  <c r="H51" i="3"/>
  <c r="AK52" i="3"/>
  <c r="AR52" i="3" s="1"/>
  <c r="W52" i="3"/>
  <c r="H52" i="3"/>
  <c r="AK53" i="3"/>
  <c r="BA53" i="3" s="1"/>
  <c r="W53" i="3"/>
  <c r="H53" i="3"/>
  <c r="AK54" i="3"/>
  <c r="AN54" i="3" s="1"/>
  <c r="W54" i="3"/>
  <c r="H54" i="3"/>
  <c r="AK55" i="3"/>
  <c r="BA55" i="3" s="1"/>
  <c r="W55" i="3"/>
  <c r="H55" i="3"/>
  <c r="AK56" i="3"/>
  <c r="AY56" i="3" s="1"/>
  <c r="W56" i="3"/>
  <c r="H56" i="3"/>
  <c r="AK57" i="3"/>
  <c r="BA57" i="3" s="1"/>
  <c r="W57" i="3"/>
  <c r="H57" i="3"/>
  <c r="AK58" i="3"/>
  <c r="AQ58" i="3" s="1"/>
  <c r="W58" i="3"/>
  <c r="H58" i="3"/>
  <c r="AK59" i="3"/>
  <c r="AY59" i="3" s="1"/>
  <c r="W59" i="3"/>
  <c r="H59" i="3"/>
  <c r="AK60" i="3"/>
  <c r="AY60" i="3" s="1"/>
  <c r="W60" i="3"/>
  <c r="H60" i="3"/>
  <c r="AK61" i="3"/>
  <c r="AX61" i="3" s="1"/>
  <c r="W61" i="3"/>
  <c r="H61" i="3"/>
  <c r="AK62" i="3"/>
  <c r="W62" i="3"/>
  <c r="H62" i="3"/>
  <c r="AK63" i="3"/>
  <c r="AQ63" i="3" s="1"/>
  <c r="W63" i="3"/>
  <c r="H63" i="3"/>
  <c r="AK64" i="3"/>
  <c r="AQ64" i="3" s="1"/>
  <c r="W64" i="3"/>
  <c r="H64" i="3"/>
  <c r="AK65" i="3"/>
  <c r="W65" i="3"/>
  <c r="H65" i="3"/>
  <c r="AM65" i="3" s="1"/>
  <c r="AK66" i="3"/>
  <c r="AX66" i="3" s="1"/>
  <c r="W66" i="3"/>
  <c r="H66" i="3"/>
  <c r="AK67" i="3"/>
  <c r="BA67" i="3" s="1"/>
  <c r="W67" i="3"/>
  <c r="H67" i="3"/>
  <c r="AK68" i="3"/>
  <c r="AQ68" i="3" s="1"/>
  <c r="W68" i="3"/>
  <c r="H68" i="3"/>
  <c r="AK69" i="3"/>
  <c r="BA69" i="3" s="1"/>
  <c r="W69" i="3"/>
  <c r="H69" i="3"/>
  <c r="AK70" i="3"/>
  <c r="W70" i="3"/>
  <c r="H70" i="3"/>
  <c r="AM70" i="3" s="1"/>
  <c r="AK71" i="3"/>
  <c r="AN71" i="3" s="1"/>
  <c r="W71" i="3"/>
  <c r="H71" i="3"/>
  <c r="AK72" i="3"/>
  <c r="AQ72" i="3" s="1"/>
  <c r="W72" i="3"/>
  <c r="H72" i="3"/>
  <c r="AK73" i="3"/>
  <c r="AY73" i="3" s="1"/>
  <c r="W73" i="3"/>
  <c r="H73" i="3"/>
  <c r="AK74" i="3"/>
  <c r="AQ74" i="3" s="1"/>
  <c r="W74" i="3"/>
  <c r="H74" i="3"/>
  <c r="AK75" i="3"/>
  <c r="AX75" i="3" s="1"/>
  <c r="W75" i="3"/>
  <c r="H75" i="3"/>
  <c r="AK76" i="3"/>
  <c r="AR76" i="3" s="1"/>
  <c r="W76" i="3"/>
  <c r="H76" i="3"/>
  <c r="AK77" i="3"/>
  <c r="AY77" i="3" s="1"/>
  <c r="W77" i="3"/>
  <c r="H77" i="3"/>
  <c r="AK78" i="3"/>
  <c r="W78" i="3"/>
  <c r="H78" i="3"/>
  <c r="AK79" i="3"/>
  <c r="AY79" i="3" s="1"/>
  <c r="W79" i="3"/>
  <c r="H79" i="3"/>
  <c r="AK80" i="3"/>
  <c r="BA80" i="3" s="1"/>
  <c r="W80" i="3"/>
  <c r="H80" i="3"/>
  <c r="AK81" i="3"/>
  <c r="AL81" i="3" s="1"/>
  <c r="W81" i="3"/>
  <c r="H81" i="3"/>
  <c r="AK82" i="3"/>
  <c r="AL82" i="3" s="1"/>
  <c r="W82" i="3"/>
  <c r="H82" i="3"/>
  <c r="AK83" i="3"/>
  <c r="BA83" i="3" s="1"/>
  <c r="W83" i="3"/>
  <c r="AQ83" i="3"/>
  <c r="H83" i="3"/>
  <c r="AK84" i="3"/>
  <c r="V84" i="3" s="1"/>
  <c r="W84" i="3"/>
  <c r="H84" i="3"/>
  <c r="AK85" i="3"/>
  <c r="AL85" i="3" s="1"/>
  <c r="W85" i="3"/>
  <c r="AK86" i="3"/>
  <c r="W86" i="3"/>
  <c r="H86" i="3"/>
  <c r="AK87" i="3"/>
  <c r="BA87" i="3"/>
  <c r="AY87" i="3"/>
  <c r="W87" i="3"/>
  <c r="AR87" i="3"/>
  <c r="AQ87" i="3"/>
  <c r="H87" i="3"/>
  <c r="AM87" i="3" s="1"/>
  <c r="AL87" i="3"/>
  <c r="AK88" i="3"/>
  <c r="W88" i="3"/>
  <c r="AQ88" i="3"/>
  <c r="H88" i="3"/>
  <c r="AM88" i="3" s="1"/>
  <c r="AL88" i="3"/>
  <c r="AK89" i="3"/>
  <c r="BA89" i="3"/>
  <c r="W89" i="3"/>
  <c r="H89" i="3"/>
  <c r="AL89" i="3"/>
  <c r="AK90" i="3"/>
  <c r="AN90" i="3" s="1"/>
  <c r="W90" i="3"/>
  <c r="H90" i="3"/>
  <c r="AK91" i="3"/>
  <c r="W91" i="3"/>
  <c r="H91" i="3"/>
  <c r="AK92" i="3"/>
  <c r="W92" i="3"/>
  <c r="H92" i="3"/>
  <c r="AK93" i="3"/>
  <c r="W93" i="3"/>
  <c r="H93" i="3"/>
  <c r="AK94" i="3"/>
  <c r="W94" i="3"/>
  <c r="H94" i="3"/>
  <c r="AM94" i="3" s="1"/>
  <c r="AK95" i="3"/>
  <c r="BA95" i="3" s="1"/>
  <c r="W95" i="3"/>
  <c r="H95" i="3"/>
  <c r="AM95" i="3" s="1"/>
  <c r="AK96" i="3"/>
  <c r="AR96" i="3" s="1"/>
  <c r="W96" i="3"/>
  <c r="H96" i="3"/>
  <c r="AM96" i="3" s="1"/>
  <c r="AL96" i="3"/>
  <c r="AK97" i="3"/>
  <c r="W97" i="3"/>
  <c r="H97" i="3"/>
  <c r="AM97" i="3" s="1"/>
  <c r="AK98" i="3"/>
  <c r="W98" i="3"/>
  <c r="H98" i="3"/>
  <c r="AM98" i="3" s="1"/>
  <c r="AK99" i="3"/>
  <c r="AX99" i="3" s="1"/>
  <c r="W99" i="3"/>
  <c r="AQ99" i="3"/>
  <c r="H99" i="3"/>
  <c r="AK100" i="3"/>
  <c r="W100" i="3"/>
  <c r="H100" i="3"/>
  <c r="AK101" i="3"/>
  <c r="W101" i="3"/>
  <c r="H101" i="3"/>
  <c r="AM101" i="3" s="1"/>
  <c r="AK102" i="3"/>
  <c r="V102" i="3" s="1"/>
  <c r="BH102" i="3" s="1"/>
  <c r="BJ102" i="3" s="1"/>
  <c r="BI102" i="3" s="1"/>
  <c r="BA102" i="3"/>
  <c r="AX102" i="3"/>
  <c r="W102" i="3"/>
  <c r="AQ102" i="3"/>
  <c r="AN102" i="3"/>
  <c r="H102" i="3"/>
  <c r="AM102" i="3" s="1"/>
  <c r="AK103" i="3"/>
  <c r="AN103" i="3" s="1"/>
  <c r="W103" i="3"/>
  <c r="H103" i="3"/>
  <c r="AK104" i="3"/>
  <c r="AQ104" i="3" s="1"/>
  <c r="W104" i="3"/>
  <c r="H104" i="3"/>
  <c r="AK105" i="3"/>
  <c r="W105" i="3"/>
  <c r="H105" i="3"/>
  <c r="AK106" i="3"/>
  <c r="W106" i="3"/>
  <c r="AR106" i="3"/>
  <c r="H106" i="3"/>
  <c r="AM106" i="3" s="1"/>
  <c r="AL106" i="3"/>
  <c r="AK107" i="3"/>
  <c r="AQ107" i="3" s="1"/>
  <c r="AX107" i="3"/>
  <c r="W107" i="3"/>
  <c r="H107" i="3"/>
  <c r="AM107" i="3" s="1"/>
  <c r="AL107" i="3"/>
  <c r="AK108" i="3"/>
  <c r="W108" i="3"/>
  <c r="H108" i="3"/>
  <c r="AM108" i="3" s="1"/>
  <c r="AK109" i="3"/>
  <c r="BA109" i="3" s="1"/>
  <c r="W109" i="3"/>
  <c r="H109" i="3"/>
  <c r="AK110" i="3"/>
  <c r="AQ110" i="3" s="1"/>
  <c r="BA110" i="3"/>
  <c r="W110" i="3"/>
  <c r="H110" i="3"/>
  <c r="AM110" i="3" s="1"/>
  <c r="AK111" i="3"/>
  <c r="AY111" i="3" s="1"/>
  <c r="W111" i="3"/>
  <c r="H111" i="3"/>
  <c r="AK112" i="3"/>
  <c r="AY112" i="3" s="1"/>
  <c r="BA112" i="3"/>
  <c r="W112" i="3"/>
  <c r="H112" i="3"/>
  <c r="AM112" i="3" s="1"/>
  <c r="AK113" i="3"/>
  <c r="V113" i="3" s="1"/>
  <c r="B113" i="3" s="1"/>
  <c r="E113" i="3" s="1"/>
  <c r="W113" i="3"/>
  <c r="H113" i="3"/>
  <c r="AK114" i="3"/>
  <c r="AQ114" i="3" s="1"/>
  <c r="W114" i="3"/>
  <c r="H114" i="3"/>
  <c r="AK115" i="3"/>
  <c r="W115" i="3"/>
  <c r="AR115" i="3"/>
  <c r="H115" i="3"/>
  <c r="AM115" i="3" s="1"/>
  <c r="AL115" i="3"/>
  <c r="AK116" i="3"/>
  <c r="AL116" i="3" s="1"/>
  <c r="AY116" i="3"/>
  <c r="W116" i="3"/>
  <c r="AQ116" i="3"/>
  <c r="AN116" i="3"/>
  <c r="H116" i="3"/>
  <c r="AK117" i="3"/>
  <c r="AY117" i="3" s="1"/>
  <c r="BA117" i="3"/>
  <c r="W117" i="3"/>
  <c r="H117" i="3"/>
  <c r="AL117" i="3"/>
  <c r="AK118" i="3"/>
  <c r="AX118" i="3" s="1"/>
  <c r="W118" i="3"/>
  <c r="H118" i="3"/>
  <c r="J10" i="12"/>
  <c r="AA10" i="12" s="1"/>
  <c r="X5" i="12"/>
  <c r="J11" i="12"/>
  <c r="AA11" i="12" s="1"/>
  <c r="J16" i="12"/>
  <c r="U16" i="12" s="1"/>
  <c r="X11" i="12"/>
  <c r="AE11" i="12" s="1"/>
  <c r="A2" i="6"/>
  <c r="H85" i="3" s="1"/>
  <c r="A3" i="6"/>
  <c r="A4" i="6"/>
  <c r="C2" i="4"/>
  <c r="B32" i="10" s="1"/>
  <c r="A7" i="6"/>
  <c r="A8" i="6"/>
  <c r="A9" i="6"/>
  <c r="N16" i="12"/>
  <c r="M16" i="12"/>
  <c r="L16" i="12"/>
  <c r="K16" i="12"/>
  <c r="N15" i="12"/>
  <c r="M15" i="12"/>
  <c r="L15" i="12"/>
  <c r="K15" i="12"/>
  <c r="N12" i="12"/>
  <c r="M12" i="12"/>
  <c r="L12" i="12"/>
  <c r="K12" i="12"/>
  <c r="N11" i="12"/>
  <c r="M11" i="12"/>
  <c r="L11" i="12"/>
  <c r="K11" i="12"/>
  <c r="N10" i="12"/>
  <c r="M10" i="12"/>
  <c r="L10" i="12"/>
  <c r="K10" i="12"/>
  <c r="N9" i="12"/>
  <c r="M9" i="12"/>
  <c r="L9" i="12"/>
  <c r="K9" i="12"/>
  <c r="N28" i="12"/>
  <c r="M28" i="12"/>
  <c r="L28" i="12"/>
  <c r="K28" i="12"/>
  <c r="N27" i="12"/>
  <c r="M27" i="12"/>
  <c r="L27" i="12"/>
  <c r="K27" i="12"/>
  <c r="N25" i="12"/>
  <c r="M25" i="12"/>
  <c r="L25" i="12"/>
  <c r="K25" i="12"/>
  <c r="X23" i="12"/>
  <c r="AE23" i="12" s="1"/>
  <c r="X17" i="12"/>
  <c r="N22" i="12"/>
  <c r="M22" i="12"/>
  <c r="L22" i="12"/>
  <c r="K22" i="12"/>
  <c r="N21" i="12"/>
  <c r="M21" i="12"/>
  <c r="L21" i="12"/>
  <c r="K21" i="12"/>
  <c r="N18" i="12"/>
  <c r="M18" i="12"/>
  <c r="L18" i="12"/>
  <c r="K18" i="12"/>
  <c r="A6" i="6"/>
  <c r="G1" i="12"/>
  <c r="F1" i="3"/>
  <c r="L118" i="3"/>
  <c r="K118" i="3"/>
  <c r="J118" i="3"/>
  <c r="I118" i="3"/>
  <c r="L117" i="3"/>
  <c r="K117" i="3"/>
  <c r="J117" i="3"/>
  <c r="I117" i="3"/>
  <c r="L116" i="3"/>
  <c r="K116" i="3"/>
  <c r="J116" i="3"/>
  <c r="I116" i="3"/>
  <c r="L115" i="3"/>
  <c r="K115" i="3"/>
  <c r="J115" i="3"/>
  <c r="I115" i="3"/>
  <c r="L114" i="3"/>
  <c r="K114" i="3"/>
  <c r="J114" i="3"/>
  <c r="I114" i="3"/>
  <c r="L113" i="3"/>
  <c r="K113" i="3"/>
  <c r="J113" i="3"/>
  <c r="I113" i="3"/>
  <c r="L112" i="3"/>
  <c r="K112" i="3"/>
  <c r="J112" i="3"/>
  <c r="I112" i="3"/>
  <c r="L111" i="3"/>
  <c r="K111" i="3"/>
  <c r="J111" i="3"/>
  <c r="I111" i="3"/>
  <c r="L110" i="3"/>
  <c r="K110" i="3"/>
  <c r="J110" i="3"/>
  <c r="I110" i="3"/>
  <c r="L109" i="3"/>
  <c r="K109" i="3"/>
  <c r="J109" i="3"/>
  <c r="I109" i="3"/>
  <c r="L108" i="3"/>
  <c r="K108" i="3"/>
  <c r="J108" i="3"/>
  <c r="I108" i="3"/>
  <c r="L107" i="3"/>
  <c r="K107" i="3"/>
  <c r="J107" i="3"/>
  <c r="I107" i="3"/>
  <c r="L106" i="3"/>
  <c r="K106" i="3"/>
  <c r="J106" i="3"/>
  <c r="I106" i="3"/>
  <c r="L105" i="3"/>
  <c r="K105" i="3"/>
  <c r="J105" i="3"/>
  <c r="I105" i="3"/>
  <c r="L104" i="3"/>
  <c r="K104" i="3"/>
  <c r="J104" i="3"/>
  <c r="I104" i="3"/>
  <c r="L103" i="3"/>
  <c r="K103" i="3"/>
  <c r="J103" i="3"/>
  <c r="I103" i="3"/>
  <c r="L102" i="3"/>
  <c r="K102" i="3"/>
  <c r="J102" i="3"/>
  <c r="I102" i="3"/>
  <c r="L101" i="3"/>
  <c r="K101" i="3"/>
  <c r="J101" i="3"/>
  <c r="I101" i="3"/>
  <c r="L100" i="3"/>
  <c r="K100" i="3"/>
  <c r="J100" i="3"/>
  <c r="I100" i="3"/>
  <c r="L99" i="3"/>
  <c r="K99" i="3"/>
  <c r="J99" i="3"/>
  <c r="I99" i="3"/>
  <c r="L98" i="3"/>
  <c r="K98" i="3"/>
  <c r="J98" i="3"/>
  <c r="I98" i="3"/>
  <c r="L97" i="3"/>
  <c r="K97" i="3"/>
  <c r="J97" i="3"/>
  <c r="I97" i="3"/>
  <c r="L96" i="3"/>
  <c r="K96" i="3"/>
  <c r="J96" i="3"/>
  <c r="I96" i="3"/>
  <c r="L95" i="3"/>
  <c r="K95" i="3"/>
  <c r="J95" i="3"/>
  <c r="I95" i="3"/>
  <c r="L94" i="3"/>
  <c r="K94" i="3"/>
  <c r="J94" i="3"/>
  <c r="I94" i="3"/>
  <c r="L93" i="3"/>
  <c r="K93" i="3"/>
  <c r="J93" i="3"/>
  <c r="I93" i="3"/>
  <c r="L92" i="3"/>
  <c r="K92" i="3"/>
  <c r="J92" i="3"/>
  <c r="I92" i="3"/>
  <c r="L91" i="3"/>
  <c r="K91" i="3"/>
  <c r="J91" i="3"/>
  <c r="I91" i="3"/>
  <c r="L90" i="3"/>
  <c r="K90" i="3"/>
  <c r="J90" i="3"/>
  <c r="I90" i="3"/>
  <c r="L89" i="3"/>
  <c r="K89" i="3"/>
  <c r="J89" i="3"/>
  <c r="I89" i="3"/>
  <c r="L88" i="3"/>
  <c r="K88" i="3"/>
  <c r="J88" i="3"/>
  <c r="I88" i="3"/>
  <c r="L87" i="3"/>
  <c r="K87" i="3"/>
  <c r="J87" i="3"/>
  <c r="I87" i="3"/>
  <c r="L86" i="3"/>
  <c r="K86" i="3"/>
  <c r="J86" i="3"/>
  <c r="I86" i="3"/>
  <c r="I85" i="3"/>
  <c r="L84" i="3"/>
  <c r="K84" i="3"/>
  <c r="J84" i="3"/>
  <c r="I84" i="3"/>
  <c r="L83" i="3"/>
  <c r="K83" i="3"/>
  <c r="J83" i="3"/>
  <c r="I83" i="3"/>
  <c r="L82" i="3"/>
  <c r="K82" i="3"/>
  <c r="J82" i="3"/>
  <c r="I82" i="3"/>
  <c r="L81" i="3"/>
  <c r="K81" i="3"/>
  <c r="J81" i="3"/>
  <c r="I81" i="3"/>
  <c r="I80" i="3"/>
  <c r="L79" i="3"/>
  <c r="K79" i="3"/>
  <c r="J79" i="3"/>
  <c r="I79" i="3"/>
  <c r="L78" i="3"/>
  <c r="K78" i="3"/>
  <c r="J78" i="3"/>
  <c r="I78" i="3"/>
  <c r="L77" i="3"/>
  <c r="K77" i="3"/>
  <c r="J77" i="3"/>
  <c r="I77" i="3"/>
  <c r="L76" i="3"/>
  <c r="K76" i="3"/>
  <c r="J76" i="3"/>
  <c r="I76" i="3"/>
  <c r="L75" i="3"/>
  <c r="K75" i="3"/>
  <c r="J75" i="3"/>
  <c r="I75" i="3"/>
  <c r="L74" i="3"/>
  <c r="K74" i="3"/>
  <c r="J74" i="3"/>
  <c r="I74" i="3"/>
  <c r="L73" i="3"/>
  <c r="K73" i="3"/>
  <c r="J73" i="3"/>
  <c r="I73" i="3"/>
  <c r="L72" i="3"/>
  <c r="K72" i="3"/>
  <c r="J72" i="3"/>
  <c r="I72" i="3"/>
  <c r="L71" i="3"/>
  <c r="K71" i="3"/>
  <c r="J71" i="3"/>
  <c r="I71" i="3"/>
  <c r="L70" i="3"/>
  <c r="K70" i="3"/>
  <c r="J70" i="3"/>
  <c r="I70" i="3"/>
  <c r="L69" i="3"/>
  <c r="K69" i="3"/>
  <c r="J69" i="3"/>
  <c r="I69" i="3"/>
  <c r="L68" i="3"/>
  <c r="K68" i="3"/>
  <c r="J68" i="3"/>
  <c r="I68" i="3"/>
  <c r="L67" i="3"/>
  <c r="K67" i="3"/>
  <c r="J67" i="3"/>
  <c r="I67" i="3"/>
  <c r="L66" i="3"/>
  <c r="K66" i="3"/>
  <c r="J66" i="3"/>
  <c r="I66" i="3"/>
  <c r="L65" i="3"/>
  <c r="K65" i="3"/>
  <c r="J65" i="3"/>
  <c r="I65" i="3"/>
  <c r="L64" i="3"/>
  <c r="K64" i="3"/>
  <c r="J64" i="3"/>
  <c r="I64" i="3"/>
  <c r="L63" i="3"/>
  <c r="K63" i="3"/>
  <c r="J63" i="3"/>
  <c r="I63" i="3"/>
  <c r="L62" i="3"/>
  <c r="K62" i="3"/>
  <c r="J62" i="3"/>
  <c r="I62" i="3"/>
  <c r="L61" i="3"/>
  <c r="K61" i="3"/>
  <c r="J61" i="3"/>
  <c r="I61" i="3"/>
  <c r="L60" i="3"/>
  <c r="K60" i="3"/>
  <c r="J60" i="3"/>
  <c r="I60" i="3"/>
  <c r="L59" i="3"/>
  <c r="K59" i="3"/>
  <c r="J59" i="3"/>
  <c r="I59" i="3"/>
  <c r="L58" i="3"/>
  <c r="K58" i="3"/>
  <c r="J58" i="3"/>
  <c r="I58" i="3"/>
  <c r="L57" i="3"/>
  <c r="K57" i="3"/>
  <c r="J57" i="3"/>
  <c r="I57" i="3"/>
  <c r="L56" i="3"/>
  <c r="K56" i="3"/>
  <c r="J56" i="3"/>
  <c r="I56" i="3"/>
  <c r="L55" i="3"/>
  <c r="K55" i="3"/>
  <c r="J55" i="3"/>
  <c r="I55" i="3"/>
  <c r="L54" i="3"/>
  <c r="K54" i="3"/>
  <c r="J54" i="3"/>
  <c r="I54" i="3"/>
  <c r="L53" i="3"/>
  <c r="K53" i="3"/>
  <c r="J53" i="3"/>
  <c r="I53" i="3"/>
  <c r="L52" i="3"/>
  <c r="K52" i="3"/>
  <c r="J52" i="3"/>
  <c r="I52" i="3"/>
  <c r="L51" i="3"/>
  <c r="K51" i="3"/>
  <c r="J51" i="3"/>
  <c r="I51" i="3"/>
  <c r="L50" i="3"/>
  <c r="K50" i="3"/>
  <c r="J50" i="3"/>
  <c r="I50" i="3"/>
  <c r="L49" i="3"/>
  <c r="K49" i="3"/>
  <c r="J49" i="3"/>
  <c r="I49" i="3"/>
  <c r="L48" i="3"/>
  <c r="K48" i="3"/>
  <c r="J48" i="3"/>
  <c r="I48" i="3"/>
  <c r="L47" i="3"/>
  <c r="K47" i="3"/>
  <c r="J47" i="3"/>
  <c r="I47" i="3"/>
  <c r="L46" i="3"/>
  <c r="K46" i="3"/>
  <c r="J46" i="3"/>
  <c r="I46" i="3"/>
  <c r="L45" i="3"/>
  <c r="K45" i="3"/>
  <c r="J45" i="3"/>
  <c r="I45" i="3"/>
  <c r="L44" i="3"/>
  <c r="K44" i="3"/>
  <c r="J44" i="3"/>
  <c r="I44" i="3"/>
  <c r="L43" i="3"/>
  <c r="K43" i="3"/>
  <c r="J43" i="3"/>
  <c r="I43" i="3"/>
  <c r="L42" i="3"/>
  <c r="K42" i="3"/>
  <c r="J42" i="3"/>
  <c r="I42" i="3"/>
  <c r="L41" i="3"/>
  <c r="K41" i="3"/>
  <c r="J41" i="3"/>
  <c r="I41" i="3"/>
  <c r="L40" i="3"/>
  <c r="K40" i="3"/>
  <c r="J40" i="3"/>
  <c r="I40" i="3"/>
  <c r="L39" i="3"/>
  <c r="K39" i="3"/>
  <c r="J39" i="3"/>
  <c r="I39" i="3"/>
  <c r="L38" i="3"/>
  <c r="K38" i="3"/>
  <c r="J38" i="3"/>
  <c r="I38" i="3"/>
  <c r="L37" i="3"/>
  <c r="K37" i="3"/>
  <c r="J37" i="3"/>
  <c r="I37" i="3"/>
  <c r="L36" i="3"/>
  <c r="K36" i="3"/>
  <c r="J36" i="3"/>
  <c r="I36" i="3"/>
  <c r="L35" i="3"/>
  <c r="K35" i="3"/>
  <c r="J35" i="3"/>
  <c r="I35" i="3"/>
  <c r="L34" i="3"/>
  <c r="K34" i="3"/>
  <c r="J34" i="3"/>
  <c r="I34" i="3"/>
  <c r="L33" i="3"/>
  <c r="K33" i="3"/>
  <c r="J33" i="3"/>
  <c r="I33" i="3"/>
  <c r="L32" i="3"/>
  <c r="K32" i="3"/>
  <c r="J32" i="3"/>
  <c r="I32" i="3"/>
  <c r="L31" i="3"/>
  <c r="K31" i="3"/>
  <c r="J31" i="3"/>
  <c r="I31" i="3"/>
  <c r="L30" i="3"/>
  <c r="K30" i="3"/>
  <c r="J30" i="3"/>
  <c r="I30" i="3"/>
  <c r="L29" i="3"/>
  <c r="K29" i="3"/>
  <c r="J29" i="3"/>
  <c r="I29" i="3"/>
  <c r="L28" i="3"/>
  <c r="K28" i="3"/>
  <c r="J28" i="3"/>
  <c r="I28" i="3"/>
  <c r="L27" i="3"/>
  <c r="K27" i="3"/>
  <c r="J27" i="3"/>
  <c r="I27" i="3"/>
  <c r="L26" i="3"/>
  <c r="K26" i="3"/>
  <c r="J26" i="3"/>
  <c r="I26" i="3"/>
  <c r="L25" i="3"/>
  <c r="K25" i="3"/>
  <c r="J25" i="3"/>
  <c r="I25" i="3"/>
  <c r="L24" i="3"/>
  <c r="K24" i="3"/>
  <c r="J24" i="3"/>
  <c r="I24" i="3"/>
  <c r="L23" i="3"/>
  <c r="K23" i="3"/>
  <c r="J23" i="3"/>
  <c r="I23" i="3"/>
  <c r="L22" i="3"/>
  <c r="K22" i="3"/>
  <c r="J22" i="3"/>
  <c r="I22" i="3"/>
  <c r="L21" i="3"/>
  <c r="K21" i="3"/>
  <c r="J21" i="3"/>
  <c r="I21" i="3"/>
  <c r="L20" i="3"/>
  <c r="K20" i="3"/>
  <c r="J20" i="3"/>
  <c r="I20" i="3"/>
  <c r="L19" i="3"/>
  <c r="K19" i="3"/>
  <c r="J19" i="3"/>
  <c r="I19" i="3"/>
  <c r="L18" i="3"/>
  <c r="K18" i="3"/>
  <c r="J18" i="3"/>
  <c r="I18" i="3"/>
  <c r="L17" i="3"/>
  <c r="K17" i="3"/>
  <c r="J17" i="3"/>
  <c r="I17" i="3"/>
  <c r="L16" i="3"/>
  <c r="K16" i="3"/>
  <c r="J16" i="3"/>
  <c r="I16" i="3"/>
  <c r="L15" i="3"/>
  <c r="K15" i="3"/>
  <c r="J15" i="3"/>
  <c r="I15" i="3"/>
  <c r="L14" i="3"/>
  <c r="K14" i="3"/>
  <c r="J14" i="3"/>
  <c r="I14" i="3"/>
  <c r="L11" i="3"/>
  <c r="K11" i="3"/>
  <c r="J11" i="3"/>
  <c r="I11" i="3"/>
  <c r="L9" i="3"/>
  <c r="K9" i="3"/>
  <c r="J9" i="3"/>
  <c r="I9" i="3"/>
  <c r="L8" i="3"/>
  <c r="K8" i="3"/>
  <c r="J8" i="3"/>
  <c r="I8" i="3"/>
  <c r="A5" i="6"/>
  <c r="C9" i="4"/>
  <c r="C8" i="4"/>
  <c r="C7" i="4"/>
  <c r="C3" i="4"/>
  <c r="C4" i="4"/>
  <c r="C5" i="4"/>
  <c r="C6" i="4"/>
  <c r="D5" i="11"/>
  <c r="D3" i="11" s="1"/>
  <c r="A1" i="11"/>
  <c r="A1" i="4"/>
  <c r="M53" i="10"/>
  <c r="M50" i="10"/>
  <c r="M47" i="10"/>
  <c r="M44" i="10"/>
  <c r="M41" i="10"/>
  <c r="M38" i="10"/>
  <c r="M35" i="10"/>
  <c r="G56" i="10"/>
  <c r="G41" i="10"/>
  <c r="G38" i="10"/>
  <c r="G35" i="10"/>
  <c r="A56" i="10"/>
  <c r="A53" i="10"/>
  <c r="A50" i="10"/>
  <c r="A47" i="10"/>
  <c r="A44" i="10"/>
  <c r="A41" i="10"/>
  <c r="A38" i="10"/>
  <c r="A35" i="10"/>
  <c r="A31" i="10"/>
  <c r="A6" i="10"/>
  <c r="AZ119" i="3"/>
  <c r="BD119" i="3"/>
  <c r="AZ62" i="3"/>
  <c r="BD62" i="3"/>
  <c r="AZ63" i="3"/>
  <c r="BD63" i="3"/>
  <c r="AZ64" i="3"/>
  <c r="BD64" i="3"/>
  <c r="AZ65" i="3"/>
  <c r="BD65" i="3"/>
  <c r="AZ66" i="3"/>
  <c r="BD66" i="3"/>
  <c r="AZ67" i="3"/>
  <c r="BD67" i="3"/>
  <c r="AZ68" i="3"/>
  <c r="BD68" i="3"/>
  <c r="AZ69" i="3"/>
  <c r="BD69" i="3"/>
  <c r="AZ70" i="3"/>
  <c r="BD70" i="3"/>
  <c r="AZ71" i="3"/>
  <c r="BD71" i="3"/>
  <c r="AZ72" i="3"/>
  <c r="BD72" i="3"/>
  <c r="AZ73" i="3"/>
  <c r="BD73" i="3"/>
  <c r="AZ74" i="3"/>
  <c r="BD74" i="3"/>
  <c r="AZ75" i="3"/>
  <c r="BD75" i="3"/>
  <c r="AZ76" i="3"/>
  <c r="BD76" i="3"/>
  <c r="AZ77" i="3"/>
  <c r="BD77" i="3"/>
  <c r="AZ78" i="3"/>
  <c r="BD78" i="3"/>
  <c r="AZ79" i="3"/>
  <c r="BD79" i="3"/>
  <c r="AZ80" i="3"/>
  <c r="BD80" i="3"/>
  <c r="AZ81" i="3"/>
  <c r="BD81" i="3"/>
  <c r="AZ82" i="3"/>
  <c r="BD82" i="3"/>
  <c r="AZ83" i="3"/>
  <c r="BD83" i="3"/>
  <c r="AZ84" i="3"/>
  <c r="BD84" i="3"/>
  <c r="AZ85" i="3"/>
  <c r="BD85" i="3"/>
  <c r="AZ86" i="3"/>
  <c r="BD86" i="3"/>
  <c r="AZ87" i="3"/>
  <c r="BD87" i="3"/>
  <c r="AZ88" i="3"/>
  <c r="BD88" i="3"/>
  <c r="AZ89" i="3"/>
  <c r="BD89" i="3"/>
  <c r="AZ90" i="3"/>
  <c r="BD90" i="3"/>
  <c r="AZ91" i="3"/>
  <c r="BD91" i="3"/>
  <c r="AZ92" i="3"/>
  <c r="BD92" i="3"/>
  <c r="AZ93" i="3"/>
  <c r="BD93" i="3"/>
  <c r="AZ94" i="3"/>
  <c r="BD94" i="3"/>
  <c r="AZ95" i="3"/>
  <c r="BD95" i="3"/>
  <c r="AZ96" i="3"/>
  <c r="BD96" i="3"/>
  <c r="AZ97" i="3"/>
  <c r="BD97" i="3"/>
  <c r="AZ98" i="3"/>
  <c r="BD98" i="3"/>
  <c r="AZ99" i="3"/>
  <c r="BD99" i="3"/>
  <c r="AZ100" i="3"/>
  <c r="BD100" i="3"/>
  <c r="AZ101" i="3"/>
  <c r="BD101" i="3"/>
  <c r="AZ102" i="3"/>
  <c r="BD102" i="3"/>
  <c r="AZ103" i="3"/>
  <c r="BD103" i="3"/>
  <c r="AZ104" i="3"/>
  <c r="BD104" i="3"/>
  <c r="AZ105" i="3"/>
  <c r="BD105" i="3"/>
  <c r="AZ106" i="3"/>
  <c r="BD106" i="3"/>
  <c r="AZ107" i="3"/>
  <c r="BD107" i="3"/>
  <c r="AZ108" i="3"/>
  <c r="BD108" i="3"/>
  <c r="AZ109" i="3"/>
  <c r="BD109" i="3"/>
  <c r="AZ110" i="3"/>
  <c r="BD110" i="3"/>
  <c r="AZ111" i="3"/>
  <c r="BD111" i="3"/>
  <c r="AZ112" i="3"/>
  <c r="BD112" i="3"/>
  <c r="AZ113" i="3"/>
  <c r="BD113" i="3"/>
  <c r="AZ114" i="3"/>
  <c r="BD114" i="3"/>
  <c r="AZ115" i="3"/>
  <c r="BD115" i="3"/>
  <c r="AZ116" i="3"/>
  <c r="BD116" i="3"/>
  <c r="AZ117" i="3"/>
  <c r="BD117" i="3"/>
  <c r="AZ118" i="3"/>
  <c r="BD118" i="3"/>
  <c r="A2" i="10"/>
  <c r="A106" i="4"/>
  <c r="A34" i="4"/>
  <c r="BD6" i="3"/>
  <c r="BD7" i="3"/>
  <c r="BD8" i="3"/>
  <c r="BD9" i="3"/>
  <c r="BD10" i="3"/>
  <c r="BD11" i="3"/>
  <c r="BD12" i="3"/>
  <c r="BD13" i="3"/>
  <c r="BD14" i="3"/>
  <c r="BD15" i="3"/>
  <c r="BD16" i="3"/>
  <c r="BD17" i="3"/>
  <c r="BD18" i="3"/>
  <c r="BD19" i="3"/>
  <c r="BD20" i="3"/>
  <c r="BD21" i="3"/>
  <c r="BD22" i="3"/>
  <c r="BD23" i="3"/>
  <c r="BD24" i="3"/>
  <c r="BD25" i="3"/>
  <c r="BD26" i="3"/>
  <c r="BD27" i="3"/>
  <c r="BD28" i="3"/>
  <c r="BD29" i="3"/>
  <c r="BD30" i="3"/>
  <c r="BD31" i="3"/>
  <c r="BD32" i="3"/>
  <c r="BD33" i="3"/>
  <c r="BD34" i="3"/>
  <c r="BD35" i="3"/>
  <c r="BD36" i="3"/>
  <c r="BD37" i="3"/>
  <c r="BD38" i="3"/>
  <c r="BD39" i="3"/>
  <c r="BD40" i="3"/>
  <c r="BD41" i="3"/>
  <c r="BD42" i="3"/>
  <c r="BD43" i="3"/>
  <c r="BD44" i="3"/>
  <c r="BD45" i="3"/>
  <c r="BD46" i="3"/>
  <c r="BD47" i="3"/>
  <c r="BD48" i="3"/>
  <c r="BD49" i="3"/>
  <c r="BD50" i="3"/>
  <c r="BD51" i="3"/>
  <c r="BD52" i="3"/>
  <c r="BD53" i="3"/>
  <c r="BD54" i="3"/>
  <c r="BD55" i="3"/>
  <c r="BD56" i="3"/>
  <c r="BD57" i="3"/>
  <c r="BD58" i="3"/>
  <c r="BD59" i="3"/>
  <c r="BD60" i="3"/>
  <c r="BD61" i="3"/>
  <c r="AZ12" i="3"/>
  <c r="AZ61" i="3"/>
  <c r="AZ10" i="3"/>
  <c r="AZ9" i="3"/>
  <c r="AZ8" i="3"/>
  <c r="AZ7" i="3"/>
  <c r="N14" i="12"/>
  <c r="AZ11" i="3"/>
  <c r="AZ60" i="3"/>
  <c r="AZ59" i="3"/>
  <c r="AZ58" i="3"/>
  <c r="AZ57" i="3"/>
  <c r="AZ56" i="3"/>
  <c r="AZ55" i="3"/>
  <c r="AZ54" i="3"/>
  <c r="AZ53" i="3"/>
  <c r="AZ52" i="3"/>
  <c r="AZ51" i="3"/>
  <c r="AZ50" i="3"/>
  <c r="AZ49" i="3"/>
  <c r="AZ48" i="3"/>
  <c r="AZ47" i="3"/>
  <c r="AZ46" i="3"/>
  <c r="AZ45" i="3"/>
  <c r="AZ44" i="3"/>
  <c r="AZ43" i="3"/>
  <c r="AZ42" i="3"/>
  <c r="AZ41" i="3"/>
  <c r="AZ40" i="3"/>
  <c r="AZ39" i="3"/>
  <c r="AZ38" i="3"/>
  <c r="AZ37" i="3"/>
  <c r="AZ36" i="3"/>
  <c r="AZ35" i="3"/>
  <c r="AZ34" i="3"/>
  <c r="AZ33" i="3"/>
  <c r="AZ32" i="3"/>
  <c r="AZ31" i="3"/>
  <c r="AZ30" i="3"/>
  <c r="AZ29" i="3"/>
  <c r="AZ28" i="3"/>
  <c r="AZ27" i="3"/>
  <c r="AZ26" i="3"/>
  <c r="AZ25" i="3"/>
  <c r="AZ24" i="3"/>
  <c r="AZ23" i="3"/>
  <c r="AZ22" i="3"/>
  <c r="AZ21" i="3"/>
  <c r="AZ20" i="3"/>
  <c r="AZ19" i="3"/>
  <c r="AZ18" i="3"/>
  <c r="AZ17" i="3"/>
  <c r="AZ16" i="3"/>
  <c r="AZ15" i="3"/>
  <c r="AZ14" i="3"/>
  <c r="AZ13" i="3"/>
  <c r="G27" i="10"/>
  <c r="A27" i="10"/>
  <c r="M24" i="10"/>
  <c r="A24" i="10"/>
  <c r="M21" i="10"/>
  <c r="A21" i="10"/>
  <c r="M18" i="10"/>
  <c r="A18" i="10"/>
  <c r="M15" i="10"/>
  <c r="A15" i="10"/>
  <c r="M12" i="10"/>
  <c r="G12" i="10"/>
  <c r="A12" i="10"/>
  <c r="M9" i="10"/>
  <c r="G9" i="10"/>
  <c r="A9" i="10"/>
  <c r="M6" i="10"/>
  <c r="G6" i="10"/>
  <c r="P53" i="8"/>
  <c r="A53" i="8"/>
  <c r="P40" i="8"/>
  <c r="A40" i="8"/>
  <c r="P27" i="8"/>
  <c r="A27" i="8"/>
  <c r="P14" i="8"/>
  <c r="A14" i="8"/>
  <c r="P1" i="8"/>
  <c r="A1" i="8"/>
  <c r="BK9" i="3"/>
  <c r="BK10" i="3"/>
  <c r="BK11" i="3"/>
  <c r="BK12" i="3"/>
  <c r="BK13" i="3"/>
  <c r="BK14" i="3"/>
  <c r="BK15" i="3"/>
  <c r="BK16" i="3"/>
  <c r="BK17" i="3"/>
  <c r="BK18" i="3"/>
  <c r="BK19" i="3"/>
  <c r="BK20" i="3"/>
  <c r="BK21" i="3"/>
  <c r="BK22" i="3"/>
  <c r="BK23" i="3"/>
  <c r="BK24" i="3"/>
  <c r="BK25" i="3"/>
  <c r="BK26" i="3"/>
  <c r="BK27" i="3"/>
  <c r="BK7" i="3"/>
  <c r="BK8" i="3"/>
  <c r="BK6" i="3"/>
  <c r="J10" i="3"/>
  <c r="J12" i="3"/>
  <c r="J13" i="3"/>
  <c r="J119" i="3"/>
  <c r="N17" i="12"/>
  <c r="M19" i="12"/>
  <c r="M20" i="12"/>
  <c r="K23" i="12"/>
  <c r="M24" i="12"/>
  <c r="M26" i="12"/>
  <c r="K13" i="12"/>
  <c r="K14" i="12"/>
  <c r="J24" i="12"/>
  <c r="J26" i="12"/>
  <c r="AA26" i="12" s="1"/>
  <c r="J18" i="12"/>
  <c r="AA18" i="12" s="1"/>
  <c r="J20" i="12"/>
  <c r="H8" i="3"/>
  <c r="AM8" i="3" s="1"/>
  <c r="J25" i="12"/>
  <c r="AA25" i="12" s="1"/>
  <c r="J19" i="12"/>
  <c r="U19" i="12" s="1"/>
  <c r="H10" i="3"/>
  <c r="AM10" i="3" s="1"/>
  <c r="J23" i="12"/>
  <c r="U23" i="12" s="1"/>
  <c r="J17" i="12"/>
  <c r="H13" i="3"/>
  <c r="AM13" i="3" s="1"/>
  <c r="J12" i="12"/>
  <c r="U12" i="12" s="1"/>
  <c r="J14" i="12"/>
  <c r="AA14" i="12" s="1"/>
  <c r="H9" i="3"/>
  <c r="AM9" i="3" s="1"/>
  <c r="H12" i="3"/>
  <c r="J9" i="12"/>
  <c r="H119" i="3"/>
  <c r="AM119" i="3" s="1"/>
  <c r="J13" i="12"/>
  <c r="AA13" i="12" s="1"/>
  <c r="J15" i="12"/>
  <c r="U15" i="12" s="1"/>
  <c r="H11" i="3"/>
  <c r="AM11" i="3" s="1"/>
  <c r="K10" i="3"/>
  <c r="K12" i="3"/>
  <c r="K13" i="3"/>
  <c r="K119" i="3"/>
  <c r="K17" i="12"/>
  <c r="N19" i="12"/>
  <c r="N20" i="12"/>
  <c r="L23" i="12"/>
  <c r="N24" i="12"/>
  <c r="N26" i="12"/>
  <c r="L13" i="12"/>
  <c r="L14" i="12"/>
  <c r="L10" i="3"/>
  <c r="L12" i="3"/>
  <c r="L13" i="3"/>
  <c r="L119" i="3"/>
  <c r="L17" i="12"/>
  <c r="K19" i="12"/>
  <c r="K20" i="12"/>
  <c r="M23" i="12"/>
  <c r="K24" i="12"/>
  <c r="K26" i="12"/>
  <c r="M13" i="12"/>
  <c r="M14" i="12"/>
  <c r="I10" i="3"/>
  <c r="I12" i="3"/>
  <c r="I13" i="3"/>
  <c r="I119" i="3"/>
  <c r="M17" i="12"/>
  <c r="L19" i="12"/>
  <c r="L20" i="12"/>
  <c r="N23" i="12"/>
  <c r="L24" i="12"/>
  <c r="L26" i="12"/>
  <c r="N13" i="12"/>
  <c r="AX10" i="3"/>
  <c r="Y10" i="3"/>
  <c r="AS10" i="3" s="1"/>
  <c r="Z10" i="3"/>
  <c r="AB10" i="3"/>
  <c r="X10" i="3"/>
  <c r="AH10" i="3" s="1"/>
  <c r="AW10" i="3" s="1"/>
  <c r="AX117" i="3"/>
  <c r="BA103" i="3"/>
  <c r="AY102" i="3"/>
  <c r="AX101" i="3"/>
  <c r="AY90" i="3"/>
  <c r="AX89" i="3"/>
  <c r="AX85" i="3"/>
  <c r="AL47" i="3"/>
  <c r="AN39" i="3"/>
  <c r="AX35" i="3"/>
  <c r="AX112" i="3"/>
  <c r="AQ101" i="3"/>
  <c r="AR90" i="3"/>
  <c r="AQ89" i="3"/>
  <c r="AN86" i="3"/>
  <c r="AX76" i="3"/>
  <c r="AY43" i="3"/>
  <c r="AY10" i="3"/>
  <c r="AR117" i="3"/>
  <c r="AR105" i="3"/>
  <c r="AR101" i="3"/>
  <c r="AN89" i="3"/>
  <c r="AN85" i="3"/>
  <c r="AN67" i="3"/>
  <c r="AL50" i="3"/>
  <c r="AX16" i="3"/>
  <c r="BA16" i="3"/>
  <c r="AY16" i="3"/>
  <c r="AQ16" i="3"/>
  <c r="AQ13" i="3"/>
  <c r="X7" i="3"/>
  <c r="Z11" i="3"/>
  <c r="AC11" i="3"/>
  <c r="X11" i="3"/>
  <c r="AH11" i="3" s="1"/>
  <c r="AW11" i="3" s="1"/>
  <c r="Y11" i="3"/>
  <c r="AG11" i="3" s="1"/>
  <c r="AN60" i="3"/>
  <c r="AN36" i="3"/>
  <c r="AR26" i="3"/>
  <c r="AN24" i="3"/>
  <c r="AN41" i="3"/>
  <c r="AL40" i="3"/>
  <c r="AN26" i="3"/>
  <c r="AL9" i="3"/>
  <c r="X8" i="3"/>
  <c r="AV8" i="3" s="1"/>
  <c r="Y8" i="3"/>
  <c r="AF8" i="3" s="1"/>
  <c r="Z8" i="3"/>
  <c r="AB8" i="3" s="1"/>
  <c r="X12" i="3"/>
  <c r="AV12" i="3" s="1"/>
  <c r="Y12" i="3"/>
  <c r="AG12" i="3" s="1"/>
  <c r="Z12" i="3"/>
  <c r="AC12" i="3"/>
  <c r="Z9" i="3"/>
  <c r="AB9" i="3" s="1"/>
  <c r="X9" i="3"/>
  <c r="AH9" i="3" s="1"/>
  <c r="AW9" i="3" s="1"/>
  <c r="Y9" i="3"/>
  <c r="AE9" i="3" s="1"/>
  <c r="X13" i="3"/>
  <c r="AH13" i="3" s="1"/>
  <c r="AW13" i="3" s="1"/>
  <c r="Y13" i="3"/>
  <c r="AS13" i="3" s="1"/>
  <c r="Z13" i="3"/>
  <c r="AC13" i="3"/>
  <c r="AC10" i="3"/>
  <c r="AB12" i="3"/>
  <c r="AB13" i="3"/>
  <c r="AB11" i="3"/>
  <c r="AD9" i="3"/>
  <c r="AX25" i="3"/>
  <c r="BA7" i="3"/>
  <c r="V98" i="3"/>
  <c r="D98" i="3" s="1"/>
  <c r="AX98" i="3"/>
  <c r="AN98" i="3"/>
  <c r="AY98" i="3"/>
  <c r="AL98" i="3"/>
  <c r="AR98" i="3"/>
  <c r="BA98" i="3"/>
  <c r="AQ98" i="3"/>
  <c r="AR84" i="3"/>
  <c r="BA72" i="3"/>
  <c r="AL68" i="3"/>
  <c r="BA50" i="3"/>
  <c r="V100" i="3"/>
  <c r="B100" i="3" s="1"/>
  <c r="E100" i="3" s="1"/>
  <c r="AX100" i="3"/>
  <c r="AY100" i="3"/>
  <c r="AQ100" i="3"/>
  <c r="AL100" i="3"/>
  <c r="BA100" i="3"/>
  <c r="AN100" i="3"/>
  <c r="AR100" i="3"/>
  <c r="AR12" i="3"/>
  <c r="AX12" i="3"/>
  <c r="BA12" i="3"/>
  <c r="AL12" i="3"/>
  <c r="AY12" i="3"/>
  <c r="BA81" i="3"/>
  <c r="AX81" i="3"/>
  <c r="L6" i="3"/>
  <c r="AR108" i="3"/>
  <c r="V104" i="3"/>
  <c r="BH104" i="3" s="1"/>
  <c r="BJ104" i="3" s="1"/>
  <c r="BI104" i="3" s="1"/>
  <c r="AX104" i="3"/>
  <c r="AN104" i="3"/>
  <c r="AY104" i="3"/>
  <c r="AL97" i="3"/>
  <c r="AN97" i="3"/>
  <c r="BA90" i="3"/>
  <c r="V88" i="3"/>
  <c r="BH88" i="3" s="1"/>
  <c r="BJ88" i="3" s="1"/>
  <c r="BI88" i="3" s="1"/>
  <c r="AX88" i="3"/>
  <c r="AR88" i="3"/>
  <c r="BA88" i="3"/>
  <c r="AN88" i="3"/>
  <c r="AY88" i="3"/>
  <c r="AQ65" i="3"/>
  <c r="BA65" i="3"/>
  <c r="AN43" i="3"/>
  <c r="BA26" i="3"/>
  <c r="AY9" i="3"/>
  <c r="AR9" i="3"/>
  <c r="AN9" i="3"/>
  <c r="V117" i="3"/>
  <c r="BE117" i="3" s="1"/>
  <c r="BG117" i="3" s="1"/>
  <c r="BF117" i="3" s="1"/>
  <c r="AN117" i="3"/>
  <c r="AQ117" i="3"/>
  <c r="V114" i="3"/>
  <c r="D114" i="3" s="1"/>
  <c r="BA114" i="3"/>
  <c r="AR114" i="3"/>
  <c r="AY114" i="3"/>
  <c r="AN114" i="3"/>
  <c r="AX114" i="3"/>
  <c r="V96" i="3"/>
  <c r="AX96" i="3"/>
  <c r="AN96" i="3"/>
  <c r="BA96" i="3"/>
  <c r="AQ96" i="3"/>
  <c r="AY96" i="3"/>
  <c r="V86" i="3"/>
  <c r="B86" i="3" s="1"/>
  <c r="E86" i="3" s="1"/>
  <c r="AX86" i="3"/>
  <c r="AL86" i="3"/>
  <c r="AQ86" i="3"/>
  <c r="BA86" i="3"/>
  <c r="AY86" i="3"/>
  <c r="AR86" i="3"/>
  <c r="AY49" i="3"/>
  <c r="AQ49" i="3"/>
  <c r="AL49" i="3"/>
  <c r="BA49" i="3"/>
  <c r="AN49" i="3"/>
  <c r="AX49" i="3"/>
  <c r="AQ20" i="3"/>
  <c r="AR11" i="3"/>
  <c r="V108" i="3"/>
  <c r="B108" i="3" s="1"/>
  <c r="E108" i="3" s="1"/>
  <c r="AN108" i="3"/>
  <c r="V101" i="3"/>
  <c r="D101" i="3" s="1"/>
  <c r="AN101" i="3"/>
  <c r="BA101" i="3"/>
  <c r="AL101" i="3"/>
  <c r="AY101" i="3"/>
  <c r="AQ56" i="3"/>
  <c r="AR33" i="3"/>
  <c r="AQ28" i="3"/>
  <c r="AN19" i="3"/>
  <c r="BA8" i="3"/>
  <c r="H1075" i="6"/>
  <c r="AX115" i="3"/>
  <c r="V110" i="3"/>
  <c r="BH110" i="3" s="1"/>
  <c r="BJ110" i="3" s="1"/>
  <c r="BI110" i="3" s="1"/>
  <c r="AX110" i="3"/>
  <c r="AN110" i="3"/>
  <c r="AN109" i="3"/>
  <c r="AX106" i="3"/>
  <c r="AL105" i="3"/>
  <c r="BA99" i="3"/>
  <c r="V89" i="3"/>
  <c r="A89" i="3" s="1"/>
  <c r="AY89" i="3"/>
  <c r="AY61" i="3"/>
  <c r="AQ61" i="3"/>
  <c r="AL61" i="3"/>
  <c r="AX54" i="3"/>
  <c r="AY45" i="3"/>
  <c r="AX40" i="3"/>
  <c r="AQ24" i="3"/>
  <c r="AR89" i="3"/>
  <c r="AR118" i="3"/>
  <c r="V116" i="3"/>
  <c r="BH116" i="3" s="1"/>
  <c r="BJ116" i="3" s="1"/>
  <c r="BI116" i="3" s="1"/>
  <c r="BA116" i="3"/>
  <c r="AR116" i="3"/>
  <c r="AX111" i="3"/>
  <c r="V107" i="3"/>
  <c r="D107" i="3" s="1"/>
  <c r="BA107" i="3"/>
  <c r="AR107" i="3"/>
  <c r="V103" i="3"/>
  <c r="BE103" i="3" s="1"/>
  <c r="BG103" i="3" s="1"/>
  <c r="BF103" i="3" s="1"/>
  <c r="V93" i="3"/>
  <c r="D93" i="3" s="1"/>
  <c r="V91" i="3"/>
  <c r="D91" i="3" s="1"/>
  <c r="V87" i="3"/>
  <c r="BH87" i="3" s="1"/>
  <c r="BJ87" i="3" s="1"/>
  <c r="BI87" i="3" s="1"/>
  <c r="AX87" i="3"/>
  <c r="AN87" i="3"/>
  <c r="BA73" i="3"/>
  <c r="AR73" i="3"/>
  <c r="AX47" i="3"/>
  <c r="BA41" i="3"/>
  <c r="AQ41" i="3"/>
  <c r="H1175" i="6"/>
  <c r="H1067" i="6"/>
  <c r="H1015" i="6"/>
  <c r="H951" i="6"/>
  <c r="H923" i="6"/>
  <c r="H863" i="6"/>
  <c r="H843" i="6"/>
  <c r="H823" i="6"/>
  <c r="H779" i="6"/>
  <c r="H751" i="6"/>
  <c r="H731" i="6"/>
  <c r="H711" i="6"/>
  <c r="H687" i="6"/>
  <c r="H667" i="6"/>
  <c r="H635" i="6"/>
  <c r="H587" i="6"/>
  <c r="H523" i="6"/>
  <c r="H495" i="6"/>
  <c r="H455" i="6"/>
  <c r="H431" i="6"/>
  <c r="H1244" i="6"/>
  <c r="H1224" i="6"/>
  <c r="H1220" i="6"/>
  <c r="H1216" i="6"/>
  <c r="H1212" i="6"/>
  <c r="H1208" i="6"/>
  <c r="H1204" i="6"/>
  <c r="H1200" i="6"/>
  <c r="H1196" i="6"/>
  <c r="H1192" i="6"/>
  <c r="H1188" i="6"/>
  <c r="H1184" i="6"/>
  <c r="H1180" i="6"/>
  <c r="H1176" i="6"/>
  <c r="H1172" i="6"/>
  <c r="H1168" i="6"/>
  <c r="H1164" i="6"/>
  <c r="H1160" i="6"/>
  <c r="H1156" i="6"/>
  <c r="H1152" i="6"/>
  <c r="H1144" i="6"/>
  <c r="H1140" i="6"/>
  <c r="H1136" i="6"/>
  <c r="H1132" i="6"/>
  <c r="H1128" i="6"/>
  <c r="H1124" i="6"/>
  <c r="H1120" i="6"/>
  <c r="H1116" i="6"/>
  <c r="H1112" i="6"/>
  <c r="H1108" i="6"/>
  <c r="H1104" i="6"/>
  <c r="H1100" i="6"/>
  <c r="H1096" i="6"/>
  <c r="H1092" i="6"/>
  <c r="H1088" i="6"/>
  <c r="H1080" i="6"/>
  <c r="H1064" i="6"/>
  <c r="H1060" i="6"/>
  <c r="H1056" i="6"/>
  <c r="H1052" i="6"/>
  <c r="H1048" i="6"/>
  <c r="H1028" i="6"/>
  <c r="H996" i="6"/>
  <c r="H972" i="6"/>
  <c r="H392" i="6"/>
  <c r="H376" i="6"/>
  <c r="H344" i="6"/>
  <c r="H328" i="6"/>
  <c r="H312" i="6"/>
  <c r="H280" i="6"/>
  <c r="H264" i="6"/>
  <c r="H248" i="6"/>
  <c r="H216" i="6"/>
  <c r="H184" i="6"/>
  <c r="H136" i="6"/>
  <c r="H120" i="6"/>
  <c r="H1249" i="6"/>
  <c r="H1245" i="6"/>
  <c r="H1241" i="6"/>
  <c r="H1237" i="6"/>
  <c r="H1233" i="6"/>
  <c r="H1229" i="6"/>
  <c r="H1165" i="6"/>
  <c r="H1097" i="6"/>
  <c r="H1029" i="6"/>
  <c r="H1013" i="6"/>
  <c r="H993" i="6"/>
  <c r="H977" i="6"/>
  <c r="H961" i="6"/>
  <c r="H945" i="6"/>
  <c r="H941" i="6"/>
  <c r="H933" i="6"/>
  <c r="H925" i="6"/>
  <c r="H917" i="6"/>
  <c r="H913" i="6"/>
  <c r="H901" i="6"/>
  <c r="H897" i="6"/>
  <c r="H893" i="6"/>
  <c r="H881" i="6"/>
  <c r="H877" i="6"/>
  <c r="H869" i="6"/>
  <c r="H861" i="6"/>
  <c r="H853" i="6"/>
  <c r="H849" i="6"/>
  <c r="H833" i="6"/>
  <c r="H829" i="6"/>
  <c r="H813" i="6"/>
  <c r="H805" i="6"/>
  <c r="H801" i="6"/>
  <c r="H797" i="6"/>
  <c r="H789" i="6"/>
  <c r="H785" i="6"/>
  <c r="H781" i="6"/>
  <c r="H777" i="6"/>
  <c r="H773" i="6"/>
  <c r="H769" i="6"/>
  <c r="H765" i="6"/>
  <c r="H761" i="6"/>
  <c r="H757" i="6"/>
  <c r="H753" i="6"/>
  <c r="H749" i="6"/>
  <c r="H745" i="6"/>
  <c r="H741" i="6"/>
  <c r="H733" i="6"/>
  <c r="H729" i="6"/>
  <c r="H725" i="6"/>
  <c r="H721" i="6"/>
  <c r="H717" i="6"/>
  <c r="H713" i="6"/>
  <c r="H709" i="6"/>
  <c r="H705" i="6"/>
  <c r="H701" i="6"/>
  <c r="H697" i="6"/>
  <c r="H693" i="6"/>
  <c r="H689" i="6"/>
  <c r="H685" i="6"/>
  <c r="H681" i="6"/>
  <c r="H677" i="6"/>
  <c r="H673" i="6"/>
  <c r="H669" i="6"/>
  <c r="H665" i="6"/>
  <c r="H653" i="6"/>
  <c r="H645" i="6"/>
  <c r="H641" i="6"/>
  <c r="H637" i="6"/>
  <c r="H633" i="6"/>
  <c r="H629" i="6"/>
  <c r="H625" i="6"/>
  <c r="H621" i="6"/>
  <c r="H617" i="6"/>
  <c r="H613" i="6"/>
  <c r="H609" i="6"/>
  <c r="H605" i="6"/>
  <c r="H601" i="6"/>
  <c r="H597" i="6"/>
  <c r="H593" i="6"/>
  <c r="H589" i="6"/>
  <c r="H585" i="6"/>
  <c r="H581" i="6"/>
  <c r="H577" i="6"/>
  <c r="H573" i="6"/>
  <c r="H557" i="6"/>
  <c r="H541" i="6"/>
  <c r="H525" i="6"/>
  <c r="H521" i="6"/>
  <c r="H517" i="6"/>
  <c r="H513" i="6"/>
  <c r="H509" i="6"/>
  <c r="H505" i="6"/>
  <c r="H501" i="6"/>
  <c r="H497" i="6"/>
  <c r="H493" i="6"/>
  <c r="H489" i="6"/>
  <c r="H485" i="6"/>
  <c r="H481" i="6"/>
  <c r="H477" i="6"/>
  <c r="H473" i="6"/>
  <c r="H469" i="6"/>
  <c r="H465" i="6"/>
  <c r="H457" i="6"/>
  <c r="H453" i="6"/>
  <c r="H449" i="6"/>
  <c r="H441" i="6"/>
  <c r="H437" i="6"/>
  <c r="H433" i="6"/>
  <c r="H429" i="6"/>
  <c r="H425" i="6"/>
  <c r="H421" i="6"/>
  <c r="H413" i="6"/>
  <c r="H401" i="6"/>
  <c r="H397" i="6"/>
  <c r="H393" i="6"/>
  <c r="H389" i="6"/>
  <c r="H385" i="6"/>
  <c r="H381" i="6"/>
  <c r="H377" i="6"/>
  <c r="H373" i="6"/>
  <c r="H369" i="6"/>
  <c r="H365" i="6"/>
  <c r="H361" i="6"/>
  <c r="H357" i="6"/>
  <c r="H353" i="6"/>
  <c r="H349" i="6"/>
  <c r="H345" i="6"/>
  <c r="H341" i="6"/>
  <c r="H337" i="6"/>
  <c r="H333" i="6"/>
  <c r="H329" i="6"/>
  <c r="H325" i="6"/>
  <c r="H321" i="6"/>
  <c r="H317" i="6"/>
  <c r="H313" i="6"/>
  <c r="H309" i="6"/>
  <c r="H305" i="6"/>
  <c r="H301" i="6"/>
  <c r="H297" i="6"/>
  <c r="H293" i="6"/>
  <c r="H289" i="6"/>
  <c r="H285" i="6"/>
  <c r="H281" i="6"/>
  <c r="H277" i="6"/>
  <c r="H273" i="6"/>
  <c r="H269" i="6"/>
  <c r="H265" i="6"/>
  <c r="H261" i="6"/>
  <c r="H257" i="6"/>
  <c r="H253" i="6"/>
  <c r="H249" i="6"/>
  <c r="H245" i="6"/>
  <c r="H241" i="6"/>
  <c r="H237" i="6"/>
  <c r="H233" i="6"/>
  <c r="H229" i="6"/>
  <c r="H225" i="6"/>
  <c r="H221" i="6"/>
  <c r="H217" i="6"/>
  <c r="H213" i="6"/>
  <c r="H205" i="6"/>
  <c r="H189" i="6"/>
  <c r="H185" i="6"/>
  <c r="H181" i="6"/>
  <c r="H177" i="6"/>
  <c r="H173" i="6"/>
  <c r="H169" i="6"/>
  <c r="H165" i="6"/>
  <c r="H157" i="6"/>
  <c r="H145" i="6"/>
  <c r="H141" i="6"/>
  <c r="H137" i="6"/>
  <c r="H133" i="6"/>
  <c r="H129" i="6"/>
  <c r="H125" i="6"/>
  <c r="H121" i="6"/>
  <c r="H117" i="6"/>
  <c r="H105" i="6"/>
  <c r="H89" i="6"/>
  <c r="H61" i="6"/>
  <c r="H45" i="6"/>
  <c r="H29" i="6"/>
  <c r="H13" i="6"/>
  <c r="H411" i="6"/>
  <c r="H399" i="6"/>
  <c r="H395" i="6"/>
  <c r="H391" i="6"/>
  <c r="H387" i="6"/>
  <c r="H383" i="6"/>
  <c r="H379" i="6"/>
  <c r="H375" i="6"/>
  <c r="H371" i="6"/>
  <c r="H367" i="6"/>
  <c r="H363" i="6"/>
  <c r="H359" i="6"/>
  <c r="H355" i="6"/>
  <c r="H351" i="6"/>
  <c r="H347" i="6"/>
  <c r="H343" i="6"/>
  <c r="H339" i="6"/>
  <c r="H335" i="6"/>
  <c r="H331" i="6"/>
  <c r="H327" i="6"/>
  <c r="H323" i="6"/>
  <c r="H319" i="6"/>
  <c r="H315" i="6"/>
  <c r="H311" i="6"/>
  <c r="H307" i="6"/>
  <c r="H303" i="6"/>
  <c r="H299" i="6"/>
  <c r="H295" i="6"/>
  <c r="H291" i="6"/>
  <c r="H287" i="6"/>
  <c r="H283" i="6"/>
  <c r="H279" i="6"/>
  <c r="H275" i="6"/>
  <c r="H271" i="6"/>
  <c r="H267" i="6"/>
  <c r="H263" i="6"/>
  <c r="H259" i="6"/>
  <c r="H255" i="6"/>
  <c r="H251" i="6"/>
  <c r="H247" i="6"/>
  <c r="H243" i="6"/>
  <c r="H239" i="6"/>
  <c r="H235" i="6"/>
  <c r="H231" i="6"/>
  <c r="H227" i="6"/>
  <c r="H223" i="6"/>
  <c r="H219" i="6"/>
  <c r="H215" i="6"/>
  <c r="H211" i="6"/>
  <c r="H207" i="6"/>
  <c r="H203" i="6"/>
  <c r="H199" i="6"/>
  <c r="H195" i="6"/>
  <c r="H191" i="6"/>
  <c r="H187" i="6"/>
  <c r="H183" i="6"/>
  <c r="H179" i="6"/>
  <c r="H175" i="6"/>
  <c r="H171" i="6"/>
  <c r="H167" i="6"/>
  <c r="H163" i="6"/>
  <c r="H159" i="6"/>
  <c r="H155" i="6"/>
  <c r="H151" i="6"/>
  <c r="H147" i="6"/>
  <c r="H143" i="6"/>
  <c r="H139" i="6"/>
  <c r="H135" i="6"/>
  <c r="H131" i="6"/>
  <c r="H127" i="6"/>
  <c r="H123" i="6"/>
  <c r="H119" i="6"/>
  <c r="H115" i="6"/>
  <c r="H111" i="6"/>
  <c r="H107" i="6"/>
  <c r="H103" i="6"/>
  <c r="H99" i="6"/>
  <c r="H95" i="6"/>
  <c r="H91" i="6"/>
  <c r="H87" i="6"/>
  <c r="H83" i="6"/>
  <c r="H79" i="6"/>
  <c r="H75" i="6"/>
  <c r="H59" i="6"/>
  <c r="H55" i="6"/>
  <c r="H51" i="6"/>
  <c r="H47" i="6"/>
  <c r="H43" i="6"/>
  <c r="H39" i="6"/>
  <c r="H35" i="6"/>
  <c r="H31" i="6"/>
  <c r="H27" i="6"/>
  <c r="H23" i="6"/>
  <c r="H19" i="6"/>
  <c r="H15" i="6"/>
  <c r="H11" i="6"/>
  <c r="H7" i="6"/>
  <c r="H3" i="6"/>
  <c r="H936" i="6"/>
  <c r="H932" i="6"/>
  <c r="H928" i="6"/>
  <c r="H924" i="6"/>
  <c r="H920" i="6"/>
  <c r="H916" i="6"/>
  <c r="H912" i="6"/>
  <c r="H908" i="6"/>
  <c r="H904" i="6"/>
  <c r="H900" i="6"/>
  <c r="H896" i="6"/>
  <c r="H892" i="6"/>
  <c r="H888" i="6"/>
  <c r="H884" i="6"/>
  <c r="H880" i="6"/>
  <c r="H876" i="6"/>
  <c r="H872" i="6"/>
  <c r="H868" i="6"/>
  <c r="H864" i="6"/>
  <c r="H860" i="6"/>
  <c r="H856" i="6"/>
  <c r="H852" i="6"/>
  <c r="H848" i="6"/>
  <c r="H844" i="6"/>
  <c r="H840" i="6"/>
  <c r="H836" i="6"/>
  <c r="H832" i="6"/>
  <c r="H828" i="6"/>
  <c r="H820" i="6"/>
  <c r="H808" i="6"/>
  <c r="H804" i="6"/>
  <c r="H800" i="6"/>
  <c r="H796" i="6"/>
  <c r="H792" i="6"/>
  <c r="H788" i="6"/>
  <c r="H784" i="6"/>
  <c r="H780" i="6"/>
  <c r="H776" i="6"/>
  <c r="H772" i="6"/>
  <c r="H768" i="6"/>
  <c r="H764" i="6"/>
  <c r="H760" i="6"/>
  <c r="H756" i="6"/>
  <c r="H752" i="6"/>
  <c r="H748" i="6"/>
  <c r="H744" i="6"/>
  <c r="H740" i="6"/>
  <c r="H728" i="6"/>
  <c r="H724" i="6"/>
  <c r="H720" i="6"/>
  <c r="H716" i="6"/>
  <c r="H712" i="6"/>
  <c r="H708" i="6"/>
  <c r="H704" i="6"/>
  <c r="H700" i="6"/>
  <c r="H696" i="6"/>
  <c r="H692" i="6"/>
  <c r="H684" i="6"/>
  <c r="H680" i="6"/>
  <c r="H676" i="6"/>
  <c r="H668" i="6"/>
  <c r="H664" i="6"/>
  <c r="H660" i="6"/>
  <c r="H640" i="6"/>
  <c r="H636" i="6"/>
  <c r="H632" i="6"/>
  <c r="H624" i="6"/>
  <c r="H620" i="6"/>
  <c r="H616" i="6"/>
  <c r="H608" i="6"/>
  <c r="H604" i="6"/>
  <c r="H600" i="6"/>
  <c r="H592" i="6"/>
  <c r="H588" i="6"/>
  <c r="H580" i="6"/>
  <c r="H568" i="6"/>
  <c r="H564" i="6"/>
  <c r="H560" i="6"/>
  <c r="H552" i="6"/>
  <c r="H548" i="6"/>
  <c r="H544" i="6"/>
  <c r="H540" i="6"/>
  <c r="H536" i="6"/>
  <c r="H532" i="6"/>
  <c r="H528" i="6"/>
  <c r="H524" i="6"/>
  <c r="H520" i="6"/>
  <c r="H516" i="6"/>
  <c r="H512" i="6"/>
  <c r="H508" i="6"/>
  <c r="H504" i="6"/>
  <c r="H500" i="6"/>
  <c r="H496" i="6"/>
  <c r="H492" i="6"/>
  <c r="H488" i="6"/>
  <c r="H484" i="6"/>
  <c r="H480" i="6"/>
  <c r="H476" i="6"/>
  <c r="H472" i="6"/>
  <c r="H468" i="6"/>
  <c r="H464" i="6"/>
  <c r="H460" i="6"/>
  <c r="H456" i="6"/>
  <c r="H452" i="6"/>
  <c r="H448" i="6"/>
  <c r="H444" i="6"/>
  <c r="H440" i="6"/>
  <c r="H436" i="6"/>
  <c r="H432" i="6"/>
  <c r="H428" i="6"/>
  <c r="H424" i="6"/>
  <c r="H420" i="6"/>
  <c r="H400" i="6"/>
  <c r="H396" i="6"/>
  <c r="H388" i="6"/>
  <c r="H384" i="6"/>
  <c r="H380" i="6"/>
  <c r="H372" i="6"/>
  <c r="H368" i="6"/>
  <c r="H364" i="6"/>
  <c r="H356" i="6"/>
  <c r="H352" i="6"/>
  <c r="H348" i="6"/>
  <c r="H340" i="6"/>
  <c r="H336" i="6"/>
  <c r="H332" i="6"/>
  <c r="H324" i="6"/>
  <c r="H320" i="6"/>
  <c r="H316" i="6"/>
  <c r="H308" i="6"/>
  <c r="H304" i="6"/>
  <c r="H292" i="6"/>
  <c r="H288" i="6"/>
  <c r="H284" i="6"/>
  <c r="H276" i="6"/>
  <c r="H272" i="6"/>
  <c r="H268" i="6"/>
  <c r="H260" i="6"/>
  <c r="H256" i="6"/>
  <c r="H252" i="6"/>
  <c r="H244" i="6"/>
  <c r="H240" i="6"/>
  <c r="H236" i="6"/>
  <c r="H228" i="6"/>
  <c r="H224" i="6"/>
  <c r="H220" i="6"/>
  <c r="H212" i="6"/>
  <c r="H208" i="6"/>
  <c r="H188" i="6"/>
  <c r="H180" i="6"/>
  <c r="H176" i="6"/>
  <c r="H172" i="6"/>
  <c r="H164" i="6"/>
  <c r="H144" i="6"/>
  <c r="H140" i="6"/>
  <c r="H132" i="6"/>
  <c r="H128" i="6"/>
  <c r="H124" i="6"/>
  <c r="H116" i="6"/>
  <c r="H108" i="6"/>
  <c r="H84" i="6"/>
  <c r="H48" i="6"/>
  <c r="H28" i="6"/>
  <c r="H4" i="6"/>
  <c r="Z6" i="3"/>
  <c r="AC6" i="3" s="1"/>
  <c r="X6" i="3"/>
  <c r="AH6" i="3" s="1"/>
  <c r="AW6" i="3" s="1"/>
  <c r="Y6" i="3"/>
  <c r="AG6" i="3" s="1"/>
  <c r="BA32" i="3"/>
  <c r="AX32" i="3"/>
  <c r="AY31" i="3"/>
  <c r="AR31" i="3"/>
  <c r="AY23" i="3"/>
  <c r="AL23" i="3"/>
  <c r="AN23" i="3"/>
  <c r="K6" i="3"/>
  <c r="J6" i="12"/>
  <c r="AA6" i="12" s="1"/>
  <c r="K7" i="3"/>
  <c r="J6" i="3"/>
  <c r="L7" i="3"/>
  <c r="L8" i="12"/>
  <c r="H7" i="3"/>
  <c r="N8" i="12"/>
  <c r="J7" i="3"/>
  <c r="N5" i="12"/>
  <c r="L5" i="12"/>
  <c r="J5" i="12"/>
  <c r="U5" i="12" s="1"/>
  <c r="J7" i="12"/>
  <c r="U7" i="12" s="1"/>
  <c r="K7" i="12"/>
  <c r="M5" i="12"/>
  <c r="N6" i="12"/>
  <c r="L6" i="12"/>
  <c r="I6" i="3"/>
  <c r="M6" i="12"/>
  <c r="M7" i="12"/>
  <c r="J8" i="12"/>
  <c r="AA8" i="12" s="1"/>
  <c r="AE5" i="12"/>
  <c r="Y5" i="12"/>
  <c r="I7" i="3"/>
  <c r="Y17" i="12"/>
  <c r="AE17" i="12"/>
  <c r="AL113" i="3"/>
  <c r="AR70" i="3"/>
  <c r="AX70" i="3"/>
  <c r="BA70" i="3"/>
  <c r="AY70" i="3"/>
  <c r="AL70" i="3"/>
  <c r="AR65" i="3"/>
  <c r="AY65" i="3"/>
  <c r="AN65" i="3"/>
  <c r="AX65" i="3"/>
  <c r="AL65" i="3"/>
  <c r="AQ31" i="3"/>
  <c r="AR111" i="3"/>
  <c r="AQ111" i="3"/>
  <c r="AQ97" i="3"/>
  <c r="AY97" i="3"/>
  <c r="BA97" i="3"/>
  <c r="AX97" i="3"/>
  <c r="AR97" i="3"/>
  <c r="V97" i="3"/>
  <c r="D97" i="3" s="1"/>
  <c r="AY78" i="3"/>
  <c r="AX78" i="3"/>
  <c r="AQ78" i="3"/>
  <c r="AN78" i="3"/>
  <c r="AL78" i="3"/>
  <c r="AL71" i="3"/>
  <c r="AN66" i="3"/>
  <c r="AQ66" i="3"/>
  <c r="AR66" i="3"/>
  <c r="AQ109" i="3"/>
  <c r="BA92" i="3"/>
  <c r="AQ92" i="3"/>
  <c r="AL92" i="3"/>
  <c r="V92" i="3"/>
  <c r="BH92" i="3" s="1"/>
  <c r="BJ92" i="3" s="1"/>
  <c r="BI92" i="3" s="1"/>
  <c r="AR92" i="3"/>
  <c r="AX92" i="3"/>
  <c r="AY92" i="3"/>
  <c r="V81" i="3"/>
  <c r="A81" i="3" s="1"/>
  <c r="AR81" i="3"/>
  <c r="AL67" i="3"/>
  <c r="AN21" i="3"/>
  <c r="AR14" i="3"/>
  <c r="AL14" i="3"/>
  <c r="AX14" i="3"/>
  <c r="AY14" i="3"/>
  <c r="AQ14" i="3"/>
  <c r="AN92" i="3"/>
  <c r="AR46" i="3"/>
  <c r="AQ46" i="3"/>
  <c r="BA45" i="3"/>
  <c r="AN45" i="3"/>
  <c r="AR45" i="3"/>
  <c r="AX37" i="3"/>
  <c r="AQ37" i="3"/>
  <c r="AR37" i="3"/>
  <c r="BA37" i="3"/>
  <c r="AN37" i="3"/>
  <c r="AY37" i="3"/>
  <c r="AQ33" i="3"/>
  <c r="AN14" i="3"/>
  <c r="BA11" i="3"/>
  <c r="AY11" i="3"/>
  <c r="AL11" i="3"/>
  <c r="AX11" i="3"/>
  <c r="AN112" i="3"/>
  <c r="AY110" i="3"/>
  <c r="AR110" i="3"/>
  <c r="AL110" i="3"/>
  <c r="AY103" i="3"/>
  <c r="AL79" i="3"/>
  <c r="AX74" i="3"/>
  <c r="BA74" i="3"/>
  <c r="AY69" i="3"/>
  <c r="AQ69" i="3"/>
  <c r="AL69" i="3"/>
  <c r="AY53" i="3"/>
  <c r="AQ53" i="3"/>
  <c r="AL53" i="3"/>
  <c r="AY42" i="3"/>
  <c r="BA27" i="3"/>
  <c r="AN27" i="3"/>
  <c r="Y7" i="3"/>
  <c r="AE7" i="3" s="1"/>
  <c r="Z7" i="3"/>
  <c r="AB7" i="3" s="1"/>
  <c r="V112" i="3"/>
  <c r="D112" i="3" s="1"/>
  <c r="AR112" i="3"/>
  <c r="BA104" i="3"/>
  <c r="AR104" i="3"/>
  <c r="BA61" i="3"/>
  <c r="AN61" i="3"/>
  <c r="AY47" i="3"/>
  <c r="AR47" i="3"/>
  <c r="AL44" i="3"/>
  <c r="BA38" i="3"/>
  <c r="AN16" i="3"/>
  <c r="AL16" i="3"/>
  <c r="AR13" i="3"/>
  <c r="AN13" i="3"/>
  <c r="AX13" i="3"/>
  <c r="AY107" i="3"/>
  <c r="AN107" i="3"/>
  <c r="BA94" i="3"/>
  <c r="AQ94" i="3"/>
  <c r="AL94" i="3"/>
  <c r="AG23" i="12"/>
  <c r="AH23" i="12"/>
  <c r="H1202" i="6"/>
  <c r="H1118" i="6"/>
  <c r="H1238" i="6"/>
  <c r="H1086" i="6"/>
  <c r="H1018" i="6"/>
  <c r="H958" i="6"/>
  <c r="H906" i="6"/>
  <c r="H854" i="6"/>
  <c r="H754" i="6"/>
  <c r="H702" i="6"/>
  <c r="H650" i="6"/>
  <c r="H598" i="6"/>
  <c r="H498" i="6"/>
  <c r="H450" i="6"/>
  <c r="H394" i="6"/>
  <c r="H334" i="6"/>
  <c r="H274" i="6"/>
  <c r="H214" i="6"/>
  <c r="H1042" i="6"/>
  <c r="H1010" i="6"/>
  <c r="H950" i="6"/>
  <c r="H931" i="6"/>
  <c r="H926" i="6"/>
  <c r="H899" i="6"/>
  <c r="H874" i="6"/>
  <c r="H850" i="6"/>
  <c r="H822" i="6"/>
  <c r="H803" i="6"/>
  <c r="H798" i="6"/>
  <c r="H771" i="6"/>
  <c r="H746" i="6"/>
  <c r="H722" i="6"/>
  <c r="H694" i="6"/>
  <c r="H675" i="6"/>
  <c r="H670" i="6"/>
  <c r="H618" i="6"/>
  <c r="H594" i="6"/>
  <c r="H566" i="6"/>
  <c r="H515" i="6"/>
  <c r="H442" i="6"/>
  <c r="H418" i="6"/>
  <c r="H386" i="6"/>
  <c r="H358" i="6"/>
  <c r="H326" i="6"/>
  <c r="H266" i="6"/>
  <c r="H234" i="6"/>
  <c r="H790" i="6"/>
  <c r="H467" i="6"/>
  <c r="H435" i="6"/>
  <c r="H378" i="6"/>
  <c r="H290" i="6"/>
  <c r="H94" i="6"/>
  <c r="AQ119" i="3"/>
  <c r="V119" i="3"/>
  <c r="B119" i="3" s="1"/>
  <c r="E119" i="3" s="1"/>
  <c r="AF17" i="12" l="1"/>
  <c r="AG17" i="12"/>
  <c r="AH17" i="12"/>
  <c r="AD2" i="12"/>
  <c r="AD1" i="12" s="1"/>
  <c r="H1077" i="6"/>
  <c r="H1073" i="6"/>
  <c r="H1065" i="6"/>
  <c r="H1011" i="6"/>
  <c r="H1007" i="6"/>
  <c r="H1003" i="6"/>
  <c r="H999" i="6"/>
  <c r="H991" i="6"/>
  <c r="H826" i="6"/>
  <c r="H794" i="6"/>
  <c r="H778" i="6"/>
  <c r="H775" i="6"/>
  <c r="H718" i="6"/>
  <c r="H714" i="6"/>
  <c r="H710" i="6"/>
  <c r="H706" i="6"/>
  <c r="H570" i="6"/>
  <c r="H554" i="6"/>
  <c r="H542" i="6"/>
  <c r="H534" i="6"/>
  <c r="H360" i="6"/>
  <c r="H254" i="6"/>
  <c r="H232" i="6"/>
  <c r="H209" i="6"/>
  <c r="H201" i="6"/>
  <c r="H197" i="6"/>
  <c r="H193" i="6"/>
  <c r="H161" i="6"/>
  <c r="H153" i="6"/>
  <c r="H149" i="6"/>
  <c r="H76" i="6"/>
  <c r="H72" i="6"/>
  <c r="H68" i="6"/>
  <c r="H64" i="6"/>
  <c r="H1186" i="6"/>
  <c r="H1098" i="6"/>
  <c r="H1051" i="6"/>
  <c r="H1050" i="6"/>
  <c r="H825" i="6"/>
  <c r="H821" i="6"/>
  <c r="H817" i="6"/>
  <c r="H737" i="6"/>
  <c r="H656" i="6"/>
  <c r="H652" i="6"/>
  <c r="H648" i="6"/>
  <c r="H519" i="6"/>
  <c r="H230" i="6"/>
  <c r="H210" i="6"/>
  <c r="H178" i="6"/>
  <c r="H174" i="6"/>
  <c r="H162" i="6"/>
  <c r="H134" i="6"/>
  <c r="H130" i="6"/>
  <c r="H118" i="6"/>
  <c r="H110" i="6"/>
  <c r="H1159" i="6"/>
  <c r="H1155" i="6"/>
  <c r="H1139" i="6"/>
  <c r="H1135" i="6"/>
  <c r="H982" i="6"/>
  <c r="H974" i="6"/>
  <c r="H574" i="6"/>
  <c r="H416" i="6"/>
  <c r="H412" i="6"/>
  <c r="H408" i="6"/>
  <c r="H404" i="6"/>
  <c r="H26" i="6"/>
  <c r="B107" i="3"/>
  <c r="E107" i="3" s="1"/>
  <c r="AN79" i="3"/>
  <c r="BA79" i="3"/>
  <c r="AX67" i="3"/>
  <c r="AQ51" i="3"/>
  <c r="AX109" i="3"/>
  <c r="AY71" i="3"/>
  <c r="BA111" i="3"/>
  <c r="AR113" i="3"/>
  <c r="AN113" i="3"/>
  <c r="AQ23" i="3"/>
  <c r="AL31" i="3"/>
  <c r="AL99" i="3"/>
  <c r="AR109" i="3"/>
  <c r="AR99" i="3"/>
  <c r="AQ43" i="3"/>
  <c r="AX90" i="3"/>
  <c r="AN7" i="3"/>
  <c r="AR23" i="3"/>
  <c r="AQ113" i="3"/>
  <c r="BA35" i="3"/>
  <c r="AN47" i="3"/>
  <c r="AR95" i="3"/>
  <c r="AN118" i="3"/>
  <c r="BA118" i="3"/>
  <c r="AM116" i="3"/>
  <c r="AX116" i="3"/>
  <c r="AM114" i="3"/>
  <c r="AM105" i="3"/>
  <c r="AM104" i="3"/>
  <c r="AM100" i="3"/>
  <c r="AN99" i="3"/>
  <c r="AY99" i="3"/>
  <c r="AX95" i="3"/>
  <c r="AM92" i="3"/>
  <c r="AM86" i="3"/>
  <c r="V83" i="3"/>
  <c r="A83" i="3" s="1"/>
  <c r="AM32" i="3"/>
  <c r="AC17" i="12"/>
  <c r="AH11" i="12"/>
  <c r="H1166" i="6"/>
  <c r="H1138" i="6"/>
  <c r="H1134" i="6"/>
  <c r="H1115" i="6"/>
  <c r="H1102" i="6"/>
  <c r="H1095" i="6"/>
  <c r="H1094" i="6"/>
  <c r="H1061" i="6"/>
  <c r="H1043" i="6"/>
  <c r="H1031" i="6"/>
  <c r="H1027" i="6"/>
  <c r="H962" i="6"/>
  <c r="H946" i="6"/>
  <c r="H942" i="6"/>
  <c r="H934" i="6"/>
  <c r="H930" i="6"/>
  <c r="H922" i="6"/>
  <c r="H919" i="6"/>
  <c r="H894" i="6"/>
  <c r="H882" i="6"/>
  <c r="H871" i="6"/>
  <c r="H870" i="6"/>
  <c r="H867" i="6"/>
  <c r="H866" i="6"/>
  <c r="H858" i="6"/>
  <c r="H837" i="6"/>
  <c r="H835" i="6"/>
  <c r="H770" i="6"/>
  <c r="H758" i="6"/>
  <c r="H611" i="6"/>
  <c r="H595" i="6"/>
  <c r="H104" i="6"/>
  <c r="H78" i="6"/>
  <c r="AS69" i="3"/>
  <c r="AS33" i="3"/>
  <c r="AN59" i="3"/>
  <c r="AX79" i="3"/>
  <c r="AQ67" i="3"/>
  <c r="V109" i="3"/>
  <c r="BH109" i="3" s="1"/>
  <c r="BJ109" i="3" s="1"/>
  <c r="BI109" i="3" s="1"/>
  <c r="V111" i="3"/>
  <c r="BE111" i="3" s="1"/>
  <c r="BG111" i="3" s="1"/>
  <c r="BF111" i="3" s="1"/>
  <c r="AN111" i="3"/>
  <c r="BA113" i="3"/>
  <c r="AY67" i="3"/>
  <c r="AY118" i="3"/>
  <c r="V99" i="3"/>
  <c r="D99" i="3" s="1"/>
  <c r="AL109" i="3"/>
  <c r="AX19" i="3"/>
  <c r="AQ59" i="3"/>
  <c r="AR43" i="3"/>
  <c r="V90" i="3"/>
  <c r="BH90" i="3" s="1"/>
  <c r="BJ90" i="3" s="1"/>
  <c r="BI90" i="3" s="1"/>
  <c r="AR7" i="3"/>
  <c r="AY19" i="3"/>
  <c r="AN75" i="3"/>
  <c r="AL35" i="3"/>
  <c r="AX39" i="3"/>
  <c r="AR79" i="3"/>
  <c r="AQ90" i="3"/>
  <c r="AY75" i="3"/>
  <c r="AL118" i="3"/>
  <c r="AN95" i="3"/>
  <c r="AL90" i="3"/>
  <c r="AR83" i="3"/>
  <c r="AC5" i="12"/>
  <c r="H1190" i="6"/>
  <c r="H997" i="6"/>
  <c r="H988" i="6"/>
  <c r="H970" i="6"/>
  <c r="H723" i="6"/>
  <c r="H662" i="6"/>
  <c r="H654" i="6"/>
  <c r="H646" i="6"/>
  <c r="H642" i="6"/>
  <c r="H634" i="6"/>
  <c r="H627" i="6"/>
  <c r="H454" i="6"/>
  <c r="H406" i="6"/>
  <c r="H402" i="6"/>
  <c r="H382" i="6"/>
  <c r="H362" i="6"/>
  <c r="H282" i="6"/>
  <c r="H258" i="6"/>
  <c r="H98" i="6"/>
  <c r="H62" i="6"/>
  <c r="H58" i="6"/>
  <c r="H54" i="6"/>
  <c r="H50" i="6"/>
  <c r="H30" i="6"/>
  <c r="H22" i="6"/>
  <c r="H9" i="6"/>
  <c r="AQ118" i="3"/>
  <c r="BA47" i="3"/>
  <c r="AQ79" i="3"/>
  <c r="AR67" i="3"/>
  <c r="AY109" i="3"/>
  <c r="AL111" i="3"/>
  <c r="AX113" i="3"/>
  <c r="AY113" i="3"/>
  <c r="AX23" i="3"/>
  <c r="AN31" i="3"/>
  <c r="BA31" i="3"/>
  <c r="AL95" i="3"/>
  <c r="V118" i="3"/>
  <c r="BH118" i="3" s="1"/>
  <c r="BJ118" i="3" s="1"/>
  <c r="BI118" i="3" s="1"/>
  <c r="Y11" i="12"/>
  <c r="AY35" i="3"/>
  <c r="BA39" i="3"/>
  <c r="AM118" i="3"/>
  <c r="AM117" i="3"/>
  <c r="AM113" i="3"/>
  <c r="AQ112" i="3"/>
  <c r="AM111" i="3"/>
  <c r="AM109" i="3"/>
  <c r="AL104" i="3"/>
  <c r="AM103" i="3"/>
  <c r="AL102" i="3"/>
  <c r="AR102" i="3"/>
  <c r="AM99" i="3"/>
  <c r="AM91" i="3"/>
  <c r="AM90" i="3"/>
  <c r="AM89" i="3"/>
  <c r="AM71" i="3"/>
  <c r="AM67" i="3"/>
  <c r="AS44" i="3"/>
  <c r="AS20" i="3"/>
  <c r="H1076" i="6"/>
  <c r="H1072" i="6"/>
  <c r="H1070" i="6"/>
  <c r="H1068" i="6"/>
  <c r="H1034" i="6"/>
  <c r="H1022" i="6"/>
  <c r="H1014" i="6"/>
  <c r="H1012" i="6"/>
  <c r="H1008" i="6"/>
  <c r="H1006" i="6"/>
  <c r="H1002" i="6"/>
  <c r="H1000" i="6"/>
  <c r="H994" i="6"/>
  <c r="H992" i="6"/>
  <c r="H989" i="6"/>
  <c r="H985" i="6"/>
  <c r="H983" i="6"/>
  <c r="H981" i="6"/>
  <c r="H979" i="6"/>
  <c r="H973" i="6"/>
  <c r="H971" i="6"/>
  <c r="H824" i="6"/>
  <c r="H816" i="6"/>
  <c r="H812" i="6"/>
  <c r="H738" i="6"/>
  <c r="H736" i="6"/>
  <c r="H732" i="6"/>
  <c r="H661" i="6"/>
  <c r="H657" i="6"/>
  <c r="H655" i="6"/>
  <c r="H651" i="6"/>
  <c r="H649" i="6"/>
  <c r="H622" i="6"/>
  <c r="H606" i="6"/>
  <c r="H590" i="6"/>
  <c r="H586" i="6"/>
  <c r="H584" i="6"/>
  <c r="H582" i="6"/>
  <c r="H578" i="6"/>
  <c r="H576" i="6"/>
  <c r="H571" i="6"/>
  <c r="H569" i="6"/>
  <c r="H567" i="6"/>
  <c r="H565" i="6"/>
  <c r="H561" i="6"/>
  <c r="H559" i="6"/>
  <c r="H553" i="6"/>
  <c r="H551" i="6"/>
  <c r="H549" i="6"/>
  <c r="H547" i="6"/>
  <c r="H545" i="6"/>
  <c r="H543" i="6"/>
  <c r="H539" i="6"/>
  <c r="H537" i="6"/>
  <c r="H533" i="6"/>
  <c r="H529" i="6"/>
  <c r="H527" i="6"/>
  <c r="H419" i="6"/>
  <c r="H417" i="6"/>
  <c r="H415" i="6"/>
  <c r="H409" i="6"/>
  <c r="H407" i="6"/>
  <c r="H405" i="6"/>
  <c r="H403" i="6"/>
  <c r="H342" i="6"/>
  <c r="H318" i="6"/>
  <c r="H306" i="6"/>
  <c r="H302" i="6"/>
  <c r="H300" i="6"/>
  <c r="H246" i="6"/>
  <c r="H206" i="6"/>
  <c r="H204" i="6"/>
  <c r="H200" i="6"/>
  <c r="H196" i="6"/>
  <c r="H192" i="6"/>
  <c r="H168" i="6"/>
  <c r="H160" i="6"/>
  <c r="H156" i="6"/>
  <c r="H152" i="6"/>
  <c r="H148" i="6"/>
  <c r="H73" i="6"/>
  <c r="H71" i="6"/>
  <c r="H69" i="6"/>
  <c r="H67" i="6"/>
  <c r="H65" i="6"/>
  <c r="H63" i="6"/>
  <c r="H10" i="6"/>
  <c r="B101" i="3"/>
  <c r="E101" i="3" s="1"/>
  <c r="D117" i="3"/>
  <c r="BE116" i="3"/>
  <c r="BG116" i="3" s="1"/>
  <c r="BF116" i="3" s="1"/>
  <c r="D118" i="3"/>
  <c r="B88" i="3"/>
  <c r="E88" i="3" s="1"/>
  <c r="D113" i="3"/>
  <c r="AA12" i="12"/>
  <c r="AA23" i="12"/>
  <c r="A97" i="3"/>
  <c r="U28" i="12"/>
  <c r="B92" i="3"/>
  <c r="E92" i="3" s="1"/>
  <c r="H1078" i="6"/>
  <c r="H1062" i="6"/>
  <c r="H915" i="6"/>
  <c r="H810" i="6"/>
  <c r="H730" i="6"/>
  <c r="H296" i="6"/>
  <c r="H190" i="6"/>
  <c r="H146" i="6"/>
  <c r="H1243" i="6"/>
  <c r="H1235" i="6"/>
  <c r="H1231" i="6"/>
  <c r="H1207" i="6"/>
  <c r="H1199" i="6"/>
  <c r="H682" i="6"/>
  <c r="H914" i="6"/>
  <c r="H526" i="6"/>
  <c r="H1223" i="6"/>
  <c r="H1123" i="6"/>
  <c r="H1074" i="6"/>
  <c r="H1059" i="6"/>
  <c r="H995" i="6"/>
  <c r="H986" i="6"/>
  <c r="H978" i="6"/>
  <c r="H940" i="6"/>
  <c r="H910" i="6"/>
  <c r="H902" i="6"/>
  <c r="H846" i="6"/>
  <c r="H838" i="6"/>
  <c r="H830" i="6"/>
  <c r="H818" i="6"/>
  <c r="H766" i="6"/>
  <c r="H762" i="6"/>
  <c r="H750" i="6"/>
  <c r="H742" i="6"/>
  <c r="H739" i="6"/>
  <c r="H707" i="6"/>
  <c r="H691" i="6"/>
  <c r="H686" i="6"/>
  <c r="H678" i="6"/>
  <c r="H674" i="6"/>
  <c r="H579" i="6"/>
  <c r="H562" i="6"/>
  <c r="H558" i="6"/>
  <c r="H546" i="6"/>
  <c r="H538" i="6"/>
  <c r="H530" i="6"/>
  <c r="H522" i="6"/>
  <c r="H510" i="6"/>
  <c r="H466" i="6"/>
  <c r="H458" i="6"/>
  <c r="H451" i="6"/>
  <c r="H446" i="6"/>
  <c r="H430" i="6"/>
  <c r="H426" i="6"/>
  <c r="H354" i="6"/>
  <c r="H346" i="6"/>
  <c r="H338" i="6"/>
  <c r="H330" i="6"/>
  <c r="H294" i="6"/>
  <c r="H286" i="6"/>
  <c r="H270" i="6"/>
  <c r="H262" i="6"/>
  <c r="H226" i="6"/>
  <c r="H218" i="6"/>
  <c r="H198" i="6"/>
  <c r="H166" i="6"/>
  <c r="H158" i="6"/>
  <c r="H154" i="6"/>
  <c r="H102" i="6"/>
  <c r="H14" i="6"/>
  <c r="H6" i="6"/>
  <c r="H1170" i="6"/>
  <c r="H1158" i="6"/>
  <c r="H1084" i="6"/>
  <c r="H1066" i="6"/>
  <c r="H1038" i="6"/>
  <c r="H987" i="6"/>
  <c r="H966" i="6"/>
  <c r="H954" i="6"/>
  <c r="H898" i="6"/>
  <c r="H814" i="6"/>
  <c r="H806" i="6"/>
  <c r="H786" i="6"/>
  <c r="H755" i="6"/>
  <c r="H734" i="6"/>
  <c r="H726" i="6"/>
  <c r="H666" i="6"/>
  <c r="H610" i="6"/>
  <c r="H602" i="6"/>
  <c r="H563" i="6"/>
  <c r="H531" i="6"/>
  <c r="H518" i="6"/>
  <c r="H490" i="6"/>
  <c r="H438" i="6"/>
  <c r="H422" i="6"/>
  <c r="H322" i="6"/>
  <c r="H250" i="6"/>
  <c r="H242" i="6"/>
  <c r="H194" i="6"/>
  <c r="H186" i="6"/>
  <c r="H150" i="6"/>
  <c r="H142" i="6"/>
  <c r="H82" i="6"/>
  <c r="H40" i="6"/>
  <c r="H1130" i="6"/>
  <c r="H1126" i="6"/>
  <c r="H1110" i="6"/>
  <c r="H1106" i="6"/>
  <c r="H1090" i="6"/>
  <c r="H918" i="6"/>
  <c r="H879" i="6"/>
  <c r="H878" i="6"/>
  <c r="H862" i="6"/>
  <c r="H787" i="6"/>
  <c r="H774" i="6"/>
  <c r="H659" i="6"/>
  <c r="H638" i="6"/>
  <c r="H494" i="6"/>
  <c r="H482" i="6"/>
  <c r="H478" i="6"/>
  <c r="H398" i="6"/>
  <c r="H390" i="6"/>
  <c r="H370" i="6"/>
  <c r="H366" i="6"/>
  <c r="H298" i="6"/>
  <c r="H170" i="6"/>
  <c r="H126" i="6"/>
  <c r="H122" i="6"/>
  <c r="H66" i="6"/>
  <c r="H38" i="6"/>
  <c r="U14" i="12"/>
  <c r="AA19" i="12"/>
  <c r="BE93" i="3"/>
  <c r="BG93" i="3" s="1"/>
  <c r="BF93" i="3" s="1"/>
  <c r="U11" i="12"/>
  <c r="U13" i="12"/>
  <c r="A108" i="3"/>
  <c r="D110" i="3"/>
  <c r="BE108" i="3"/>
  <c r="BG108" i="3" s="1"/>
  <c r="BF108" i="3" s="1"/>
  <c r="D89" i="3"/>
  <c r="B102" i="3"/>
  <c r="E102" i="3" s="1"/>
  <c r="U21" i="12"/>
  <c r="BE88" i="3"/>
  <c r="BG88" i="3" s="1"/>
  <c r="BF88" i="3" s="1"/>
  <c r="A110" i="3"/>
  <c r="BH98" i="3"/>
  <c r="BJ98" i="3" s="1"/>
  <c r="BI98" i="3" s="1"/>
  <c r="BE89" i="3"/>
  <c r="BG89" i="3" s="1"/>
  <c r="BF89" i="3" s="1"/>
  <c r="A102" i="3"/>
  <c r="BE87" i="3"/>
  <c r="BG87" i="3" s="1"/>
  <c r="BF87" i="3" s="1"/>
  <c r="BE97" i="3"/>
  <c r="BG97" i="3" s="1"/>
  <c r="BF97" i="3" s="1"/>
  <c r="U10" i="12"/>
  <c r="BE86" i="3"/>
  <c r="BG86" i="3" s="1"/>
  <c r="BF86" i="3" s="1"/>
  <c r="BE107" i="3"/>
  <c r="BG107" i="3" s="1"/>
  <c r="BF107" i="3" s="1"/>
  <c r="D87" i="3"/>
  <c r="A104" i="3"/>
  <c r="D102" i="3"/>
  <c r="U25" i="12"/>
  <c r="AV61" i="3"/>
  <c r="AA5" i="12"/>
  <c r="BH97" i="3"/>
  <c r="BJ97" i="3" s="1"/>
  <c r="BI97" i="3" s="1"/>
  <c r="B114" i="3"/>
  <c r="E114" i="3" s="1"/>
  <c r="A101" i="3"/>
  <c r="BH93" i="3"/>
  <c r="BJ93" i="3" s="1"/>
  <c r="BI93" i="3" s="1"/>
  <c r="B104" i="3"/>
  <c r="E104" i="3" s="1"/>
  <c r="U6" i="12"/>
  <c r="B97" i="3"/>
  <c r="E97" i="3" s="1"/>
  <c r="A100" i="3"/>
  <c r="D88" i="3"/>
  <c r="D100" i="3"/>
  <c r="A113" i="3"/>
  <c r="BH101" i="3"/>
  <c r="BJ101" i="3" s="1"/>
  <c r="BI101" i="3" s="1"/>
  <c r="BE110" i="3"/>
  <c r="BG110" i="3" s="1"/>
  <c r="BF110" i="3" s="1"/>
  <c r="B110" i="3"/>
  <c r="E110" i="3" s="1"/>
  <c r="BH117" i="3"/>
  <c r="BJ117" i="3" s="1"/>
  <c r="BI117" i="3" s="1"/>
  <c r="B117" i="3"/>
  <c r="E117" i="3" s="1"/>
  <c r="A116" i="3"/>
  <c r="BE104" i="3"/>
  <c r="BG104" i="3" s="1"/>
  <c r="BF104" i="3" s="1"/>
  <c r="D104" i="3"/>
  <c r="A103" i="3"/>
  <c r="AA22" i="12"/>
  <c r="AA7" i="12"/>
  <c r="D81" i="3"/>
  <c r="BE101" i="3"/>
  <c r="BG101" i="3" s="1"/>
  <c r="BF101" i="3" s="1"/>
  <c r="A117" i="3"/>
  <c r="BE91" i="3"/>
  <c r="BG91" i="3" s="1"/>
  <c r="BF91" i="3" s="1"/>
  <c r="B103" i="3"/>
  <c r="E103" i="3" s="1"/>
  <c r="U26" i="12"/>
  <c r="AF116" i="3"/>
  <c r="BH108" i="3"/>
  <c r="BJ108" i="3" s="1"/>
  <c r="BI108" i="3" s="1"/>
  <c r="D108" i="3"/>
  <c r="A88" i="3"/>
  <c r="BE98" i="3"/>
  <c r="BG98" i="3" s="1"/>
  <c r="BF98" i="3" s="1"/>
  <c r="AA15" i="12"/>
  <c r="AV102" i="3"/>
  <c r="BE102" i="3"/>
  <c r="BG102" i="3" s="1"/>
  <c r="BF102" i="3" s="1"/>
  <c r="BH114" i="3"/>
  <c r="BJ114" i="3" s="1"/>
  <c r="BI114" i="3" s="1"/>
  <c r="BE100" i="3"/>
  <c r="BG100" i="3" s="1"/>
  <c r="BF100" i="3" s="1"/>
  <c r="B116" i="3"/>
  <c r="E116" i="3" s="1"/>
  <c r="BE114" i="3"/>
  <c r="BG114" i="3" s="1"/>
  <c r="BF114" i="3" s="1"/>
  <c r="BE113" i="3"/>
  <c r="BG113" i="3" s="1"/>
  <c r="BF113" i="3" s="1"/>
  <c r="BH100" i="3"/>
  <c r="BJ100" i="3" s="1"/>
  <c r="BI100" i="3" s="1"/>
  <c r="D116" i="3"/>
  <c r="A98" i="3"/>
  <c r="B98" i="3"/>
  <c r="E98" i="3" s="1"/>
  <c r="BH89" i="3"/>
  <c r="BJ89" i="3" s="1"/>
  <c r="BI89" i="3" s="1"/>
  <c r="B89" i="3"/>
  <c r="E89" i="3" s="1"/>
  <c r="BH107" i="3"/>
  <c r="BJ107" i="3" s="1"/>
  <c r="BI107" i="3" s="1"/>
  <c r="B3" i="10"/>
  <c r="AA16" i="12"/>
  <c r="A107" i="3"/>
  <c r="A114" i="3"/>
  <c r="BH113" i="3"/>
  <c r="BJ113" i="3" s="1"/>
  <c r="BI113" i="3" s="1"/>
  <c r="U18" i="12"/>
  <c r="AP114" i="3"/>
  <c r="A4" i="11"/>
  <c r="A86" i="3"/>
  <c r="D86" i="3"/>
  <c r="AL83" i="3"/>
  <c r="BH86" i="3"/>
  <c r="BJ86" i="3" s="1"/>
  <c r="BI86" i="3" s="1"/>
  <c r="AN80" i="3"/>
  <c r="AL84" i="3"/>
  <c r="AV106" i="3"/>
  <c r="AX80" i="3"/>
  <c r="AM83" i="3"/>
  <c r="AY83" i="3"/>
  <c r="AP119" i="3"/>
  <c r="AV110" i="3"/>
  <c r="AR85" i="3"/>
  <c r="AS83" i="3"/>
  <c r="BE84" i="3"/>
  <c r="BG84" i="3" s="1"/>
  <c r="BF84" i="3" s="1"/>
  <c r="D84" i="3"/>
  <c r="BH84" i="3"/>
  <c r="BJ84" i="3" s="1"/>
  <c r="BI84" i="3" s="1"/>
  <c r="B84" i="3"/>
  <c r="E84" i="3" s="1"/>
  <c r="A84" i="3"/>
  <c r="AM81" i="3"/>
  <c r="AM84" i="3"/>
  <c r="AX84" i="3"/>
  <c r="AQ84" i="3"/>
  <c r="AF114" i="3"/>
  <c r="AH21" i="3"/>
  <c r="AW21" i="3" s="1"/>
  <c r="AY81" i="3"/>
  <c r="AN84" i="3"/>
  <c r="AY84" i="3"/>
  <c r="AY85" i="3"/>
  <c r="Y80" i="3"/>
  <c r="AG80" i="3" s="1"/>
  <c r="AF86" i="3"/>
  <c r="AP69" i="3"/>
  <c r="AN81" i="3"/>
  <c r="AE117" i="3"/>
  <c r="AM82" i="3"/>
  <c r="AQ81" i="3"/>
  <c r="AY82" i="3"/>
  <c r="BA84" i="3"/>
  <c r="AQ85" i="3"/>
  <c r="AN83" i="3"/>
  <c r="AX83" i="3"/>
  <c r="Z80" i="3"/>
  <c r="AC80" i="3" s="1"/>
  <c r="AE2" i="12"/>
  <c r="AE1" i="12" s="1"/>
  <c r="Y23" i="12"/>
  <c r="AS58" i="3"/>
  <c r="AE56" i="3"/>
  <c r="AV34" i="3"/>
  <c r="AG5" i="12"/>
  <c r="AH5" i="12"/>
  <c r="AF5" i="12"/>
  <c r="AF2" i="12" s="1"/>
  <c r="AF1" i="12" s="1"/>
  <c r="AE71" i="3"/>
  <c r="AS22" i="3"/>
  <c r="AH66" i="3"/>
  <c r="AW66" i="3" s="1"/>
  <c r="AH50" i="3"/>
  <c r="AW50" i="3" s="1"/>
  <c r="AH42" i="3"/>
  <c r="AW42" i="3" s="1"/>
  <c r="AP70" i="3"/>
  <c r="AH38" i="3"/>
  <c r="AW38" i="3" s="1"/>
  <c r="AV66" i="3"/>
  <c r="AV74" i="3"/>
  <c r="BE119" i="3"/>
  <c r="BG119" i="3" s="1"/>
  <c r="BF119" i="3" s="1"/>
  <c r="D119" i="3"/>
  <c r="AA20" i="12"/>
  <c r="U20" i="12"/>
  <c r="AA24" i="12"/>
  <c r="U24" i="12"/>
  <c r="BH81" i="3"/>
  <c r="BJ81" i="3" s="1"/>
  <c r="BI81" i="3" s="1"/>
  <c r="B81" i="3"/>
  <c r="E81" i="3" s="1"/>
  <c r="A92" i="3"/>
  <c r="BE92" i="3"/>
  <c r="BG92" i="3" s="1"/>
  <c r="BF92" i="3" s="1"/>
  <c r="A112" i="3"/>
  <c r="BH112" i="3"/>
  <c r="BJ112" i="3" s="1"/>
  <c r="BI112" i="3" s="1"/>
  <c r="B112" i="3"/>
  <c r="E112" i="3" s="1"/>
  <c r="BH119" i="3"/>
  <c r="BJ119" i="3" s="1"/>
  <c r="BI119" i="3" s="1"/>
  <c r="BE112" i="3"/>
  <c r="BG112" i="3" s="1"/>
  <c r="BF112" i="3" s="1"/>
  <c r="A119" i="3"/>
  <c r="D92" i="3"/>
  <c r="BE81" i="3"/>
  <c r="BG81" i="3" s="1"/>
  <c r="BF81" i="3" s="1"/>
  <c r="D96" i="3"/>
  <c r="BH96" i="3"/>
  <c r="BJ96" i="3" s="1"/>
  <c r="BI96" i="3" s="1"/>
  <c r="A96" i="3"/>
  <c r="BE96" i="3"/>
  <c r="BG96" i="3" s="1"/>
  <c r="BF96" i="3" s="1"/>
  <c r="B96" i="3"/>
  <c r="E96" i="3" s="1"/>
  <c r="N7" i="12"/>
  <c r="K85" i="3"/>
  <c r="K80" i="3"/>
  <c r="K5" i="12"/>
  <c r="J85" i="3"/>
  <c r="J80" i="3"/>
  <c r="L7" i="12"/>
  <c r="K8" i="12"/>
  <c r="L85" i="3"/>
  <c r="L80" i="3"/>
  <c r="K6" i="12"/>
  <c r="M8" i="12"/>
  <c r="V105" i="3"/>
  <c r="AX105" i="3"/>
  <c r="AY105" i="3"/>
  <c r="AN105" i="3"/>
  <c r="BA105" i="3"/>
  <c r="AQ105" i="3"/>
  <c r="AL103" i="3"/>
  <c r="AQ103" i="3"/>
  <c r="AX103" i="3"/>
  <c r="AR103" i="3"/>
  <c r="V94" i="3"/>
  <c r="AN94" i="3"/>
  <c r="AR94" i="3"/>
  <c r="AX94" i="3"/>
  <c r="AY94" i="3"/>
  <c r="U8" i="12"/>
  <c r="A87" i="3"/>
  <c r="B87" i="3"/>
  <c r="E87" i="3" s="1"/>
  <c r="AA17" i="12"/>
  <c r="U17" i="12"/>
  <c r="AY115" i="3"/>
  <c r="V115" i="3"/>
  <c r="BA115" i="3"/>
  <c r="AQ115" i="3"/>
  <c r="AN115" i="3"/>
  <c r="AQ108" i="3"/>
  <c r="AX108" i="3"/>
  <c r="BA108" i="3"/>
  <c r="AL108" i="3"/>
  <c r="AY108" i="3"/>
  <c r="AY106" i="3"/>
  <c r="BA106" i="3"/>
  <c r="AQ106" i="3"/>
  <c r="V106" i="3"/>
  <c r="AN106" i="3"/>
  <c r="BA91" i="3"/>
  <c r="AN91" i="3"/>
  <c r="AQ91" i="3"/>
  <c r="AR91" i="3"/>
  <c r="AL91" i="3"/>
  <c r="AX91" i="3"/>
  <c r="AY91" i="3"/>
  <c r="B91" i="3"/>
  <c r="E91" i="3" s="1"/>
  <c r="BH91" i="3"/>
  <c r="BJ91" i="3" s="1"/>
  <c r="BI91" i="3" s="1"/>
  <c r="A91" i="3"/>
  <c r="D103" i="3"/>
  <c r="BH103" i="3"/>
  <c r="BJ103" i="3" s="1"/>
  <c r="BI103" i="3" s="1"/>
  <c r="AA9" i="12"/>
  <c r="U9" i="12"/>
  <c r="AX17" i="3"/>
  <c r="AN17" i="3"/>
  <c r="A93" i="3"/>
  <c r="B93" i="3"/>
  <c r="E93" i="3" s="1"/>
  <c r="BA93" i="3"/>
  <c r="AL93" i="3"/>
  <c r="AR93" i="3"/>
  <c r="AY93" i="3"/>
  <c r="AM93" i="3"/>
  <c r="AN93" i="3"/>
  <c r="AQ93" i="3"/>
  <c r="AX93" i="3"/>
  <c r="AR82" i="3"/>
  <c r="AN82" i="3"/>
  <c r="V82" i="3"/>
  <c r="AX82" i="3"/>
  <c r="BA82" i="3"/>
  <c r="AQ82" i="3"/>
  <c r="AR78" i="3"/>
  <c r="BA78" i="3"/>
  <c r="AQ70" i="3"/>
  <c r="AN70" i="3"/>
  <c r="AX62" i="3"/>
  <c r="AY62" i="3"/>
  <c r="AQ50" i="3"/>
  <c r="AY50" i="3"/>
  <c r="AX50" i="3"/>
  <c r="AR50" i="3"/>
  <c r="AR38" i="3"/>
  <c r="AY38" i="3"/>
  <c r="AR30" i="3"/>
  <c r="AN30" i="3"/>
  <c r="AQ26" i="3"/>
  <c r="AL26" i="3"/>
  <c r="AX26" i="3"/>
  <c r="AY26" i="3"/>
  <c r="AQ18" i="3"/>
  <c r="AL18" i="3"/>
  <c r="AX18" i="3"/>
  <c r="AN18" i="3"/>
  <c r="BA18" i="3"/>
  <c r="AC23" i="12"/>
  <c r="AL112" i="3"/>
  <c r="AY95" i="3"/>
  <c r="V95" i="3"/>
  <c r="AQ95" i="3"/>
  <c r="AS104" i="3"/>
  <c r="AS110" i="3"/>
  <c r="AS78" i="3"/>
  <c r="AS31" i="3"/>
  <c r="U27" i="12"/>
  <c r="AZ1" i="3"/>
  <c r="AZ2" i="3" s="1"/>
  <c r="AL114" i="3"/>
  <c r="AM78" i="3"/>
  <c r="AM58" i="3"/>
  <c r="AM30" i="3"/>
  <c r="AM22" i="3"/>
  <c r="AM18" i="3"/>
  <c r="AS45" i="3"/>
  <c r="AD80" i="3"/>
  <c r="Y85" i="3"/>
  <c r="AE85" i="3" s="1"/>
  <c r="X85" i="3"/>
  <c r="AP85" i="3" s="1"/>
  <c r="AS60" i="3"/>
  <c r="AS56" i="3"/>
  <c r="AC11" i="12"/>
  <c r="H1246" i="6"/>
  <c r="H1222" i="6"/>
  <c r="H1214" i="6"/>
  <c r="H1198" i="6"/>
  <c r="H1154" i="6"/>
  <c r="H1141" i="6"/>
  <c r="H1026" i="6"/>
  <c r="H1004" i="6"/>
  <c r="H938" i="6"/>
  <c r="H886" i="6"/>
  <c r="H819" i="6"/>
  <c r="H802" i="6"/>
  <c r="H782" i="6"/>
  <c r="H658" i="6"/>
  <c r="H623" i="6"/>
  <c r="H614" i="6"/>
  <c r="H514" i="6"/>
  <c r="H434" i="6"/>
  <c r="H410" i="6"/>
  <c r="H310" i="6"/>
  <c r="H238" i="6"/>
  <c r="H202" i="6"/>
  <c r="H182" i="6"/>
  <c r="H138" i="6"/>
  <c r="H90" i="6"/>
  <c r="H86" i="6"/>
  <c r="H70" i="6"/>
  <c r="H1210" i="6"/>
  <c r="H1194" i="6"/>
  <c r="H1150" i="6"/>
  <c r="H1030" i="6"/>
  <c r="H890" i="6"/>
  <c r="H414" i="6"/>
  <c r="H314" i="6"/>
  <c r="H74" i="6"/>
  <c r="AN119" i="3"/>
  <c r="AX119" i="3"/>
  <c r="BA119" i="3"/>
  <c r="AR119" i="3"/>
  <c r="AY119" i="3"/>
  <c r="H1242" i="6"/>
  <c r="H1148" i="6"/>
  <c r="H1122" i="6"/>
  <c r="H998" i="6"/>
  <c r="H883" i="6"/>
  <c r="H842" i="6"/>
  <c r="H834" i="6"/>
  <c r="H690" i="6"/>
  <c r="H626" i="6"/>
  <c r="H550" i="6"/>
  <c r="H462" i="6"/>
  <c r="H374" i="6"/>
  <c r="H350" i="6"/>
  <c r="H278" i="6"/>
  <c r="H222" i="6"/>
  <c r="H42" i="6"/>
  <c r="H18" i="6"/>
  <c r="AL119" i="3"/>
  <c r="AM85" i="3"/>
  <c r="AB85" i="3"/>
  <c r="BA85" i="3"/>
  <c r="AL80" i="3"/>
  <c r="AB80" i="3"/>
  <c r="AV76" i="3"/>
  <c r="AG76" i="3"/>
  <c r="AS95" i="3"/>
  <c r="AE60" i="3"/>
  <c r="AS74" i="3"/>
  <c r="AG74" i="3"/>
  <c r="AV81" i="3"/>
  <c r="AG98" i="3"/>
  <c r="AS71" i="3"/>
  <c r="AV65" i="3"/>
  <c r="AG62" i="3"/>
  <c r="AH25" i="3"/>
  <c r="AW25" i="3" s="1"/>
  <c r="AS84" i="3"/>
  <c r="AE30" i="3"/>
  <c r="AF48" i="3"/>
  <c r="AS119" i="3"/>
  <c r="AH73" i="3"/>
  <c r="AW73" i="3" s="1"/>
  <c r="AG118" i="3"/>
  <c r="AV89" i="3"/>
  <c r="AH81" i="3"/>
  <c r="AW81" i="3" s="1"/>
  <c r="AF87" i="3"/>
  <c r="AF72" i="3"/>
  <c r="AF66" i="3"/>
  <c r="AE102" i="3"/>
  <c r="AS118" i="3"/>
  <c r="AS116" i="3"/>
  <c r="AE44" i="3"/>
  <c r="AS30" i="3"/>
  <c r="AS50" i="3"/>
  <c r="AG38" i="3"/>
  <c r="AE90" i="3"/>
  <c r="AV29" i="3"/>
  <c r="AE94" i="3"/>
  <c r="AP25" i="3"/>
  <c r="AG87" i="3"/>
  <c r="AS34" i="3"/>
  <c r="AE79" i="3"/>
  <c r="AE100" i="3"/>
  <c r="AG88" i="3"/>
  <c r="BA6" i="3"/>
  <c r="AP38" i="3"/>
  <c r="AH34" i="3"/>
  <c r="AW34" i="3" s="1"/>
  <c r="AP118" i="3"/>
  <c r="AP86" i="3"/>
  <c r="AV22" i="3"/>
  <c r="AV114" i="3"/>
  <c r="AP46" i="3"/>
  <c r="AH118" i="3"/>
  <c r="AW118" i="3" s="1"/>
  <c r="AV86" i="3"/>
  <c r="AH46" i="3"/>
  <c r="AW46" i="3" s="1"/>
  <c r="AV58" i="3"/>
  <c r="AV119" i="3"/>
  <c r="AH106" i="3"/>
  <c r="AW106" i="3" s="1"/>
  <c r="AH14" i="3"/>
  <c r="AW14" i="3" s="1"/>
  <c r="AP14" i="3"/>
  <c r="AH74" i="3"/>
  <c r="AW74" i="3" s="1"/>
  <c r="AP102" i="3"/>
  <c r="AV70" i="3"/>
  <c r="AH110" i="3"/>
  <c r="AW110" i="3" s="1"/>
  <c r="AP42" i="3"/>
  <c r="AR6" i="3"/>
  <c r="AN6" i="3"/>
  <c r="AR44" i="3"/>
  <c r="AM6" i="3"/>
  <c r="AL32" i="3"/>
  <c r="AR24" i="3"/>
  <c r="AM28" i="3"/>
  <c r="BA40" i="3"/>
  <c r="BA28" i="3"/>
  <c r="BA56" i="3"/>
  <c r="BA20" i="3"/>
  <c r="BA68" i="3"/>
  <c r="AX24" i="3"/>
  <c r="AN40" i="3"/>
  <c r="AM35" i="3"/>
  <c r="AM31" i="3"/>
  <c r="AM23" i="3"/>
  <c r="AM19" i="3"/>
  <c r="AM7" i="3"/>
  <c r="AR32" i="3"/>
  <c r="AQ6" i="3"/>
  <c r="AQ32" i="3"/>
  <c r="AR40" i="3"/>
  <c r="AX20" i="3"/>
  <c r="BA36" i="3"/>
  <c r="AY7" i="3"/>
  <c r="AY20" i="3"/>
  <c r="AL15" i="3"/>
  <c r="AN48" i="3"/>
  <c r="AR72" i="3"/>
  <c r="AM60" i="3"/>
  <c r="AQ44" i="3"/>
  <c r="AR64" i="3"/>
  <c r="AX56" i="3"/>
  <c r="AY32" i="3"/>
  <c r="AL6" i="3"/>
  <c r="AM36" i="3"/>
  <c r="AM20" i="3"/>
  <c r="AN28" i="3"/>
  <c r="AN52" i="3"/>
  <c r="AR20" i="3"/>
  <c r="AL36" i="3"/>
  <c r="AL72" i="3"/>
  <c r="AL20" i="3"/>
  <c r="AX36" i="3"/>
  <c r="AN56" i="3"/>
  <c r="AE89" i="3"/>
  <c r="AE74" i="3"/>
  <c r="AG73" i="3"/>
  <c r="AF73" i="3"/>
  <c r="AG97" i="3"/>
  <c r="AE114" i="3"/>
  <c r="AF71" i="3"/>
  <c r="AH93" i="3"/>
  <c r="AW93" i="3" s="1"/>
  <c r="AE72" i="3"/>
  <c r="AF105" i="3"/>
  <c r="AG101" i="3"/>
  <c r="AF88" i="3"/>
  <c r="AF78" i="3"/>
  <c r="AF99" i="3"/>
  <c r="AS76" i="3"/>
  <c r="AF118" i="3"/>
  <c r="AE70" i="3"/>
  <c r="AF93" i="3"/>
  <c r="AE98" i="3"/>
  <c r="AG92" i="3"/>
  <c r="AF95" i="3"/>
  <c r="AS87" i="3"/>
  <c r="AH53" i="3"/>
  <c r="AW53" i="3" s="1"/>
  <c r="AV109" i="3"/>
  <c r="AS91" i="3"/>
  <c r="AS98" i="3"/>
  <c r="AG66" i="3"/>
  <c r="AF115" i="3"/>
  <c r="AG102" i="3"/>
  <c r="AV113" i="3"/>
  <c r="AF76" i="3"/>
  <c r="AM73" i="3"/>
  <c r="AQ73" i="3"/>
  <c r="AM61" i="3"/>
  <c r="AM57" i="3"/>
  <c r="AM53" i="3"/>
  <c r="AR48" i="3"/>
  <c r="AM15" i="3"/>
  <c r="AM75" i="3"/>
  <c r="AN64" i="3"/>
  <c r="AX64" i="3"/>
  <c r="AR42" i="3"/>
  <c r="BA59" i="3"/>
  <c r="AN25" i="3"/>
  <c r="AM33" i="3"/>
  <c r="AL46" i="3"/>
  <c r="AM51" i="3"/>
  <c r="BA21" i="3"/>
  <c r="AY51" i="3"/>
  <c r="AX51" i="3"/>
  <c r="AL59" i="3"/>
  <c r="AY68" i="3"/>
  <c r="AM72" i="3"/>
  <c r="AX72" i="3"/>
  <c r="AY25" i="3"/>
  <c r="AY15" i="3"/>
  <c r="AR63" i="3"/>
  <c r="AN63" i="3"/>
  <c r="AM63" i="3"/>
  <c r="AM41" i="3"/>
  <c r="AQ36" i="3"/>
  <c r="AQ17" i="3"/>
  <c r="AM16" i="3"/>
  <c r="AQ15" i="3"/>
  <c r="AR17" i="3"/>
  <c r="AX38" i="3"/>
  <c r="BA64" i="3"/>
  <c r="BA42" i="3"/>
  <c r="AN55" i="3"/>
  <c r="AN33" i="3"/>
  <c r="BA33" i="3"/>
  <c r="BA46" i="3"/>
  <c r="AQ21" i="3"/>
  <c r="AR51" i="3"/>
  <c r="AL38" i="3"/>
  <c r="BA51" i="3"/>
  <c r="AM21" i="3"/>
  <c r="AY33" i="3"/>
  <c r="AR59" i="3"/>
  <c r="AN29" i="3"/>
  <c r="AX68" i="3"/>
  <c r="AN68" i="3"/>
  <c r="AY72" i="3"/>
  <c r="AL25" i="3"/>
  <c r="AR25" i="3"/>
  <c r="AX59" i="3"/>
  <c r="AX63" i="3"/>
  <c r="AM68" i="3"/>
  <c r="AM42" i="3"/>
  <c r="AL17" i="3"/>
  <c r="BA17" i="3"/>
  <c r="AN38" i="3"/>
  <c r="AL64" i="3"/>
  <c r="AN42" i="3"/>
  <c r="AQ55" i="3"/>
  <c r="AX77" i="3"/>
  <c r="AX33" i="3"/>
  <c r="AX46" i="3"/>
  <c r="AN51" i="3"/>
  <c r="AQ38" i="3"/>
  <c r="AY63" i="3"/>
  <c r="AY29" i="3"/>
  <c r="AR68" i="3"/>
  <c r="AN72" i="3"/>
  <c r="AQ25" i="3"/>
  <c r="AX55" i="3"/>
  <c r="AL63" i="3"/>
  <c r="BA63" i="3"/>
  <c r="AY17" i="3"/>
  <c r="BA15" i="3"/>
  <c r="AE11" i="3"/>
  <c r="AE8" i="3"/>
  <c r="AC9" i="3"/>
  <c r="AE116" i="3"/>
  <c r="AE86" i="3"/>
  <c r="AG56" i="3"/>
  <c r="AP61" i="3"/>
  <c r="AG119" i="3"/>
  <c r="AV73" i="3"/>
  <c r="AP21" i="3"/>
  <c r="AG90" i="3"/>
  <c r="AF70" i="3"/>
  <c r="AS97" i="3"/>
  <c r="AG75" i="3"/>
  <c r="AS62" i="3"/>
  <c r="AS92" i="3"/>
  <c r="AE75" i="3"/>
  <c r="AH77" i="3"/>
  <c r="AW77" i="3" s="1"/>
  <c r="AF22" i="3"/>
  <c r="AP53" i="3"/>
  <c r="AE34" i="3"/>
  <c r="AG72" i="3"/>
  <c r="AG89" i="3"/>
  <c r="AG106" i="3"/>
  <c r="AF91" i="3"/>
  <c r="AS90" i="3"/>
  <c r="AV77" i="3"/>
  <c r="AG36" i="3"/>
  <c r="AS101" i="3"/>
  <c r="AS103" i="3"/>
  <c r="AF101" i="3"/>
  <c r="AE119" i="3"/>
  <c r="AS86" i="3"/>
  <c r="AG84" i="3"/>
  <c r="AS88" i="3"/>
  <c r="AG115" i="3"/>
  <c r="AF117" i="3"/>
  <c r="AP10" i="3"/>
  <c r="AE78" i="3"/>
  <c r="AQ9" i="3"/>
  <c r="AE99" i="3"/>
  <c r="AG44" i="3"/>
  <c r="AE95" i="3"/>
  <c r="AH117" i="3"/>
  <c r="AW117" i="3" s="1"/>
  <c r="AF79" i="3"/>
  <c r="AS38" i="3"/>
  <c r="AF60" i="3"/>
  <c r="AP37" i="3"/>
  <c r="AF89" i="3"/>
  <c r="AS70" i="3"/>
  <c r="AF24" i="3"/>
  <c r="AF97" i="3"/>
  <c r="AF62" i="3"/>
  <c r="AG24" i="3"/>
  <c r="AS73" i="3"/>
  <c r="AH29" i="3"/>
  <c r="AW29" i="3" s="1"/>
  <c r="AS114" i="3"/>
  <c r="AS26" i="3"/>
  <c r="AH89" i="3"/>
  <c r="AW89" i="3" s="1"/>
  <c r="AP65" i="3"/>
  <c r="AE91" i="3"/>
  <c r="P91" i="3" s="1"/>
  <c r="AS99" i="3"/>
  <c r="AE115" i="3"/>
  <c r="AS102" i="3"/>
  <c r="AF84" i="3"/>
  <c r="AS117" i="3"/>
  <c r="AF20" i="3"/>
  <c r="AE64" i="3"/>
  <c r="AG50" i="3"/>
  <c r="AP6" i="3"/>
  <c r="AG39" i="3"/>
  <c r="AG23" i="3"/>
  <c r="AS12" i="3"/>
  <c r="AE13" i="3"/>
  <c r="AP80" i="3"/>
  <c r="AH28" i="3"/>
  <c r="AW28" i="3" s="1"/>
  <c r="AH76" i="3"/>
  <c r="AW76" i="3" s="1"/>
  <c r="AP36" i="3"/>
  <c r="AS65" i="3"/>
  <c r="AV10" i="3"/>
  <c r="AS35" i="3"/>
  <c r="AF33" i="3"/>
  <c r="AH99" i="3"/>
  <c r="AW99" i="3" s="1"/>
  <c r="AF53" i="3"/>
  <c r="AV15" i="3"/>
  <c r="AP67" i="3"/>
  <c r="AE49" i="3"/>
  <c r="AG15" i="3"/>
  <c r="AP43" i="3"/>
  <c r="AP83" i="3"/>
  <c r="AE31" i="3"/>
  <c r="AF6" i="3"/>
  <c r="AE45" i="3"/>
  <c r="AE59" i="3"/>
  <c r="AV91" i="3"/>
  <c r="AS19" i="3"/>
  <c r="AH115" i="3"/>
  <c r="AW115" i="3" s="1"/>
  <c r="AG63" i="3"/>
  <c r="AE55" i="3"/>
  <c r="AV99" i="3"/>
  <c r="AF41" i="3"/>
  <c r="AP91" i="3"/>
  <c r="AS39" i="3"/>
  <c r="AE15" i="3"/>
  <c r="P15" i="3" s="1"/>
  <c r="AE67" i="3"/>
  <c r="AE63" i="3"/>
  <c r="AH87" i="3"/>
  <c r="AW87" i="3" s="1"/>
  <c r="AH43" i="3"/>
  <c r="AW43" i="3" s="1"/>
  <c r="AF19" i="3"/>
  <c r="AE43" i="3"/>
  <c r="AF35" i="3"/>
  <c r="AS53" i="3"/>
  <c r="AV111" i="3"/>
  <c r="AF47" i="3"/>
  <c r="AH27" i="3"/>
  <c r="AW27" i="3" s="1"/>
  <c r="AF63" i="3"/>
  <c r="AF55" i="3"/>
  <c r="AF65" i="3"/>
  <c r="AF23" i="3"/>
  <c r="AG53" i="3"/>
  <c r="AV23" i="3"/>
  <c r="AS15" i="3"/>
  <c r="AG51" i="3"/>
  <c r="AS41" i="3"/>
  <c r="AG27" i="3"/>
  <c r="AG67" i="3"/>
  <c r="AH63" i="3"/>
  <c r="AW63" i="3" s="1"/>
  <c r="AV87" i="3"/>
  <c r="AG19" i="3"/>
  <c r="AS43" i="3"/>
  <c r="AG33" i="3"/>
  <c r="AE35" i="3"/>
  <c r="AE47" i="3"/>
  <c r="AV27" i="3"/>
  <c r="AV103" i="3"/>
  <c r="AF43" i="3"/>
  <c r="AG55" i="3"/>
  <c r="AP79" i="3"/>
  <c r="AS23" i="3"/>
  <c r="AV59" i="3"/>
  <c r="AF45" i="3"/>
  <c r="AP39" i="3"/>
  <c r="AS47" i="3"/>
  <c r="AE25" i="3"/>
  <c r="AE27" i="3"/>
  <c r="P27" i="3" s="1"/>
  <c r="AH59" i="3"/>
  <c r="AW59" i="3" s="1"/>
  <c r="AE33" i="3"/>
  <c r="AV83" i="3"/>
  <c r="AS49" i="3"/>
  <c r="AS57" i="3"/>
  <c r="AE65" i="3"/>
  <c r="AH79" i="3"/>
  <c r="AW79" i="3" s="1"/>
  <c r="AH35" i="3"/>
  <c r="AW35" i="3" s="1"/>
  <c r="AG41" i="3"/>
  <c r="AG49" i="3"/>
  <c r="AE39" i="3"/>
  <c r="AV112" i="3"/>
  <c r="AV52" i="3"/>
  <c r="AP96" i="3"/>
  <c r="AV72" i="3"/>
  <c r="AH36" i="3"/>
  <c r="AW36" i="3" s="1"/>
  <c r="AP116" i="3"/>
  <c r="AV24" i="3"/>
  <c r="AV20" i="3"/>
  <c r="AV100" i="3"/>
  <c r="AP108" i="3"/>
  <c r="AP52" i="3"/>
  <c r="AH24" i="3"/>
  <c r="AW24" i="3" s="1"/>
  <c r="AH72" i="3"/>
  <c r="AW72" i="3" s="1"/>
  <c r="AV32" i="3"/>
  <c r="AP112" i="3"/>
  <c r="AP68" i="3"/>
  <c r="AP88" i="3"/>
  <c r="AH116" i="3"/>
  <c r="AW116" i="3" s="1"/>
  <c r="AV96" i="3"/>
  <c r="AC8" i="3"/>
  <c r="AP28" i="3"/>
  <c r="AV108" i="3"/>
  <c r="AP92" i="3"/>
  <c r="AP32" i="3"/>
  <c r="AV80" i="3"/>
  <c r="AH16" i="3"/>
  <c r="AW16" i="3" s="1"/>
  <c r="AH68" i="3"/>
  <c r="AW68" i="3" s="1"/>
  <c r="AV92" i="3"/>
  <c r="BA60" i="3"/>
  <c r="AM59" i="3"/>
  <c r="AX53" i="3"/>
  <c r="AQ48" i="3"/>
  <c r="AX48" i="3"/>
  <c r="AV13" i="3"/>
  <c r="AM69" i="3"/>
  <c r="AM64" i="3"/>
  <c r="AQ60" i="3"/>
  <c r="AY57" i="3"/>
  <c r="AR53" i="3"/>
  <c r="AL48" i="3"/>
  <c r="AM47" i="3"/>
  <c r="AL28" i="3"/>
  <c r="AS11" i="3"/>
  <c r="AR80" i="3"/>
  <c r="AM74" i="3"/>
  <c r="AR69" i="3"/>
  <c r="AM49" i="3"/>
  <c r="AM48" i="3"/>
  <c r="AM29" i="3"/>
  <c r="AR77" i="3"/>
  <c r="AM43" i="3"/>
  <c r="AM34" i="3"/>
  <c r="AG8" i="3"/>
  <c r="BA71" i="3"/>
  <c r="AL77" i="3"/>
  <c r="AQ57" i="3"/>
  <c r="AM56" i="3"/>
  <c r="AM50" i="3"/>
  <c r="AM39" i="3"/>
  <c r="AQ35" i="3"/>
  <c r="AR15" i="3"/>
  <c r="AM14" i="3"/>
  <c r="AQ77" i="3"/>
  <c r="AS8" i="3"/>
  <c r="AV6" i="3"/>
  <c r="BA66" i="3"/>
  <c r="AL66" i="3"/>
  <c r="AR71" i="3"/>
  <c r="AR56" i="3"/>
  <c r="AV30" i="3"/>
  <c r="AP22" i="3"/>
  <c r="AF11" i="3"/>
  <c r="AN44" i="3"/>
  <c r="AX44" i="3"/>
  <c r="AN77" i="3"/>
  <c r="AL56" i="3"/>
  <c r="AV9" i="3"/>
  <c r="AM66" i="3"/>
  <c r="AY66" i="3"/>
  <c r="AX71" i="3"/>
  <c r="AV93" i="3"/>
  <c r="AP58" i="3"/>
  <c r="AP50" i="3"/>
  <c r="AP100" i="3"/>
  <c r="AX6" i="3"/>
  <c r="AY18" i="3"/>
  <c r="AY39" i="3"/>
  <c r="BA24" i="3"/>
  <c r="BA19" i="3"/>
  <c r="AY28" i="3"/>
  <c r="BA43" i="3"/>
  <c r="AQ12" i="3"/>
  <c r="AN50" i="3"/>
  <c r="AL19" i="3"/>
  <c r="AX28" i="3"/>
  <c r="AR18" i="3"/>
  <c r="AL43" i="3"/>
  <c r="AN35" i="3"/>
  <c r="AR39" i="3"/>
  <c r="AQ10" i="3"/>
  <c r="AM12" i="3"/>
  <c r="AM77" i="3"/>
  <c r="BA77" i="3"/>
  <c r="AM40" i="3"/>
  <c r="AR19" i="3"/>
  <c r="AC7" i="3"/>
  <c r="AV105" i="3"/>
  <c r="AG10" i="3"/>
  <c r="AP23" i="3"/>
  <c r="AB6" i="3"/>
  <c r="AH31" i="3"/>
  <c r="AW31" i="3" s="1"/>
  <c r="AV39" i="3"/>
  <c r="AS42" i="3"/>
  <c r="AE52" i="3"/>
  <c r="AS64" i="3"/>
  <c r="AS66" i="3"/>
  <c r="AG64" i="3"/>
  <c r="AR27" i="3"/>
  <c r="AX34" i="3"/>
  <c r="AQ45" i="3"/>
  <c r="AR54" i="3"/>
  <c r="AN62" i="3"/>
  <c r="AY52" i="3"/>
  <c r="AR74" i="3"/>
  <c r="AN11" i="3"/>
  <c r="AX29" i="3"/>
  <c r="AQ29" i="3"/>
  <c r="AR75" i="3"/>
  <c r="AR21" i="3"/>
  <c r="AX30" i="3"/>
  <c r="AX7" i="3"/>
  <c r="AV71" i="3"/>
  <c r="AX22" i="3"/>
  <c r="BA30" i="3"/>
  <c r="AL27" i="3"/>
  <c r="AY13" i="3"/>
  <c r="BA58" i="3"/>
  <c r="AQ71" i="3"/>
  <c r="AR55" i="3"/>
  <c r="BA54" i="3"/>
  <c r="AL62" i="3"/>
  <c r="AQ75" i="3"/>
  <c r="BA76" i="3"/>
  <c r="AM80" i="3"/>
  <c r="AM79" i="3"/>
  <c r="AN57" i="3"/>
  <c r="AX57" i="3"/>
  <c r="AX45" i="3"/>
  <c r="AM38" i="3"/>
  <c r="AL34" i="3"/>
  <c r="AM24" i="3"/>
  <c r="AY22" i="3"/>
  <c r="AF9" i="3"/>
  <c r="AE10" i="3"/>
  <c r="AM54" i="3"/>
  <c r="AX27" i="3"/>
  <c r="AY46" i="3"/>
  <c r="AR58" i="3"/>
  <c r="AY21" i="3"/>
  <c r="AQ52" i="3"/>
  <c r="AY74" i="3"/>
  <c r="BA29" i="3"/>
  <c r="BA75" i="3"/>
  <c r="AL30" i="3"/>
  <c r="AY30" i="3"/>
  <c r="AQ27" i="3"/>
  <c r="AN22" i="3"/>
  <c r="AR22" i="3"/>
  <c r="BA13" i="3"/>
  <c r="AL58" i="3"/>
  <c r="AY76" i="3"/>
  <c r="AQ62" i="3"/>
  <c r="AL76" i="3"/>
  <c r="AL54" i="3"/>
  <c r="AL55" i="3"/>
  <c r="AR62" i="3"/>
  <c r="AN76" i="3"/>
  <c r="AL75" i="3"/>
  <c r="AL74" i="3"/>
  <c r="AL73" i="3"/>
  <c r="AL57" i="3"/>
  <c r="AR57" i="3"/>
  <c r="AM45" i="3"/>
  <c r="AM44" i="3"/>
  <c r="AR41" i="3"/>
  <c r="AQ40" i="3"/>
  <c r="AM26" i="3"/>
  <c r="AL24" i="3"/>
  <c r="AQ22" i="3"/>
  <c r="AL21" i="3"/>
  <c r="AM17" i="3"/>
  <c r="AN15" i="3"/>
  <c r="AS9" i="3"/>
  <c r="AV35" i="3"/>
  <c r="AF10" i="3"/>
  <c r="AP31" i="3"/>
  <c r="AF54" i="3"/>
  <c r="AN58" i="3"/>
  <c r="AN34" i="3"/>
  <c r="AX58" i="3"/>
  <c r="BA62" i="3"/>
  <c r="AL52" i="3"/>
  <c r="BA52" i="3"/>
  <c r="AN74" i="3"/>
  <c r="AL29" i="3"/>
  <c r="AQ30" i="3"/>
  <c r="AQ7" i="3"/>
  <c r="BA22" i="3"/>
  <c r="AY58" i="3"/>
  <c r="AQ76" i="3"/>
  <c r="AQ54" i="3"/>
  <c r="AY54" i="3"/>
  <c r="AY55" i="3"/>
  <c r="AM76" i="3"/>
  <c r="AM62" i="3"/>
  <c r="AM55" i="3"/>
  <c r="AM52" i="3"/>
  <c r="AM46" i="3"/>
  <c r="AR34" i="3"/>
  <c r="AM27" i="3"/>
  <c r="AX73" i="3"/>
  <c r="AY64" i="3"/>
  <c r="AR61" i="3"/>
  <c r="AL60" i="3"/>
  <c r="AR60" i="3"/>
  <c r="AX60" i="3"/>
  <c r="AN53" i="3"/>
  <c r="AY44" i="3"/>
  <c r="AL42" i="3"/>
  <c r="AL41" i="3"/>
  <c r="AQ39" i="3"/>
  <c r="AY36" i="3"/>
  <c r="BA34" i="3"/>
  <c r="AX9" i="3"/>
  <c r="AY80" i="3"/>
  <c r="AN73" i="3"/>
  <c r="AX69" i="3"/>
  <c r="AX52" i="3"/>
  <c r="AY48" i="3"/>
  <c r="AX42" i="3"/>
  <c r="AX41" i="3"/>
  <c r="AQ34" i="3"/>
  <c r="AN10" i="3"/>
  <c r="AR10" i="3"/>
  <c r="AQ80" i="3"/>
  <c r="AN69" i="3"/>
  <c r="BA10" i="3"/>
  <c r="AP11" i="3"/>
  <c r="AE12" i="3"/>
  <c r="AG13" i="3"/>
  <c r="AP13" i="3"/>
  <c r="AV11" i="3"/>
  <c r="AF12" i="3"/>
  <c r="AP8" i="3"/>
  <c r="AF13" i="3"/>
  <c r="AH8" i="3"/>
  <c r="AW8" i="3" s="1"/>
  <c r="AS6" i="3"/>
  <c r="AE36" i="3"/>
  <c r="AV26" i="3"/>
  <c r="AF30" i="3"/>
  <c r="AF50" i="3"/>
  <c r="AV115" i="3"/>
  <c r="AF28" i="3"/>
  <c r="AE93" i="3"/>
  <c r="AS93" i="3"/>
  <c r="AS24" i="3"/>
  <c r="AP45" i="3"/>
  <c r="AV19" i="3"/>
  <c r="AE92" i="3"/>
  <c r="AH69" i="3"/>
  <c r="AW69" i="3" s="1"/>
  <c r="AS94" i="3"/>
  <c r="AH107" i="3"/>
  <c r="AW107" i="3" s="1"/>
  <c r="AP103" i="3"/>
  <c r="AE22" i="3"/>
  <c r="AF34" i="3"/>
  <c r="AS48" i="3"/>
  <c r="AH19" i="3"/>
  <c r="AW19" i="3" s="1"/>
  <c r="AS36" i="3"/>
  <c r="AV88" i="3"/>
  <c r="AS28" i="3"/>
  <c r="AP49" i="3"/>
  <c r="AH111" i="3"/>
  <c r="AW111" i="3" s="1"/>
  <c r="AE6" i="3"/>
  <c r="AE28" i="3"/>
  <c r="AV45" i="3"/>
  <c r="AE38" i="3"/>
  <c r="AG18" i="3"/>
  <c r="AF67" i="3"/>
  <c r="AP15" i="3"/>
  <c r="AP107" i="3"/>
  <c r="AG54" i="3"/>
  <c r="AF94" i="3"/>
  <c r="AS54" i="3"/>
  <c r="AF52" i="3"/>
  <c r="AS52" i="3"/>
  <c r="AV49" i="3"/>
  <c r="AS27" i="3"/>
  <c r="AF59" i="3"/>
  <c r="AV63" i="3"/>
  <c r="AP26" i="3"/>
  <c r="AE40" i="3"/>
  <c r="AV117" i="3"/>
  <c r="AV37" i="3"/>
  <c r="AE18" i="3"/>
  <c r="AG31" i="3"/>
  <c r="AH33" i="3"/>
  <c r="AW33" i="3" s="1"/>
  <c r="AS16" i="3"/>
  <c r="AS25" i="3"/>
  <c r="AH55" i="3"/>
  <c r="AW55" i="3" s="1"/>
  <c r="AP109" i="3"/>
  <c r="AF106" i="3"/>
  <c r="AH67" i="3"/>
  <c r="AW67" i="3" s="1"/>
  <c r="AG105" i="3"/>
  <c r="AG48" i="3"/>
  <c r="AP16" i="3"/>
  <c r="AP113" i="3"/>
  <c r="AV47" i="3"/>
  <c r="AG25" i="3"/>
  <c r="AP71" i="3"/>
  <c r="AF44" i="3"/>
  <c r="AH30" i="3"/>
  <c r="AW30" i="3" s="1"/>
  <c r="AS79" i="3"/>
  <c r="AG104" i="3"/>
  <c r="AH105" i="3"/>
  <c r="AW105" i="3" s="1"/>
  <c r="AP44" i="3"/>
  <c r="AG46" i="3"/>
  <c r="AE105" i="3"/>
  <c r="AG61" i="3"/>
  <c r="AF103" i="3"/>
  <c r="AG59" i="3"/>
  <c r="AS18" i="3"/>
  <c r="AE42" i="3"/>
  <c r="AV33" i="3"/>
  <c r="AE61" i="3"/>
  <c r="AH41" i="3"/>
  <c r="AW41" i="3" s="1"/>
  <c r="AP41" i="3"/>
  <c r="AV55" i="3"/>
  <c r="AS46" i="3"/>
  <c r="AF104" i="3"/>
  <c r="AS106" i="3"/>
  <c r="AV44" i="3"/>
  <c r="AE46" i="3"/>
  <c r="AS61" i="3"/>
  <c r="AE103" i="3"/>
  <c r="AF31" i="3"/>
  <c r="AG9" i="3"/>
  <c r="AF42" i="3"/>
  <c r="AG78" i="3"/>
  <c r="AH20" i="3"/>
  <c r="AW20" i="3" s="1"/>
  <c r="AP47" i="3"/>
  <c r="AG81" i="3"/>
  <c r="AF81" i="3"/>
  <c r="AS81" i="3"/>
  <c r="AE81" i="3"/>
  <c r="AG107" i="3"/>
  <c r="AF107" i="3"/>
  <c r="AE107" i="3"/>
  <c r="AS107" i="3"/>
  <c r="AF108" i="3"/>
  <c r="AG108" i="3"/>
  <c r="AS108" i="3"/>
  <c r="AG109" i="3"/>
  <c r="AS109" i="3"/>
  <c r="AE109" i="3"/>
  <c r="AG110" i="3"/>
  <c r="AE110" i="3"/>
  <c r="AF110" i="3"/>
  <c r="AF111" i="3"/>
  <c r="AS111" i="3"/>
  <c r="AG111" i="3"/>
  <c r="AS113" i="3"/>
  <c r="AE113" i="3"/>
  <c r="AV51" i="3"/>
  <c r="AH51" i="3"/>
  <c r="AW51" i="3" s="1"/>
  <c r="AP51" i="3"/>
  <c r="AV90" i="3"/>
  <c r="AH90" i="3"/>
  <c r="AW90" i="3" s="1"/>
  <c r="AP90" i="3"/>
  <c r="AV94" i="3"/>
  <c r="AH94" i="3"/>
  <c r="AW94" i="3" s="1"/>
  <c r="AV98" i="3"/>
  <c r="AH98" i="3"/>
  <c r="AW98" i="3" s="1"/>
  <c r="AP98" i="3"/>
  <c r="AP101" i="3"/>
  <c r="AH101" i="3"/>
  <c r="AW101" i="3" s="1"/>
  <c r="AV101" i="3"/>
  <c r="AS68" i="3"/>
  <c r="AF68" i="3"/>
  <c r="AG68" i="3"/>
  <c r="AG16" i="3"/>
  <c r="AF16" i="3"/>
  <c r="AE14" i="3"/>
  <c r="AF14" i="3"/>
  <c r="AS14" i="3"/>
  <c r="AG14" i="3"/>
  <c r="AF7" i="3"/>
  <c r="AS7" i="3"/>
  <c r="AG7" i="3"/>
  <c r="AV60" i="3"/>
  <c r="AH60" i="3"/>
  <c r="AW60" i="3" s="1"/>
  <c r="AP60" i="3"/>
  <c r="AS21" i="3"/>
  <c r="AE21" i="3"/>
  <c r="AF21" i="3"/>
  <c r="AP9" i="3"/>
  <c r="AF69" i="3"/>
  <c r="AE69" i="3"/>
  <c r="AG69" i="3"/>
  <c r="AP18" i="3"/>
  <c r="AH18" i="3"/>
  <c r="AW18" i="3" s="1"/>
  <c r="AH57" i="3"/>
  <c r="AW57" i="3" s="1"/>
  <c r="AP57" i="3"/>
  <c r="AP78" i="3"/>
  <c r="AV78" i="3"/>
  <c r="AH78" i="3"/>
  <c r="AW78" i="3" s="1"/>
  <c r="AE58" i="3"/>
  <c r="AF58" i="3"/>
  <c r="AE26" i="3"/>
  <c r="AF26" i="3"/>
  <c r="AP12" i="3"/>
  <c r="AH12" i="3"/>
  <c r="AW12" i="3" s="1"/>
  <c r="AL8" i="3"/>
  <c r="AQ8" i="3"/>
  <c r="AN8" i="3"/>
  <c r="AY8" i="3"/>
  <c r="AX8" i="3"/>
  <c r="AV104" i="3"/>
  <c r="AP104" i="3"/>
  <c r="AE37" i="3"/>
  <c r="AS37" i="3"/>
  <c r="AG37" i="3"/>
  <c r="AV7" i="3"/>
  <c r="AH7" i="3"/>
  <c r="AW7" i="3" s="1"/>
  <c r="AP7" i="3"/>
  <c r="AG83" i="3"/>
  <c r="AF83" i="3"/>
  <c r="AF96" i="3"/>
  <c r="AS96" i="3"/>
  <c r="AS112" i="3"/>
  <c r="AF112" i="3"/>
  <c r="AP56" i="3"/>
  <c r="AV56" i="3"/>
  <c r="AP84" i="3"/>
  <c r="AH84" i="3"/>
  <c r="AW84" i="3" s="1"/>
  <c r="AF40" i="3"/>
  <c r="AS40" i="3"/>
  <c r="AS51" i="3"/>
  <c r="AE51" i="3"/>
  <c r="AH56" i="3"/>
  <c r="AW56" i="3" s="1"/>
  <c r="AG113" i="3"/>
  <c r="AV84" i="3"/>
  <c r="AE83" i="3"/>
  <c r="AP62" i="3"/>
  <c r="AH62" i="3"/>
  <c r="AW62" i="3" s="1"/>
  <c r="AH82" i="3"/>
  <c r="AW82" i="3" s="1"/>
  <c r="AV82" i="3"/>
  <c r="AP95" i="3"/>
  <c r="AH95" i="3"/>
  <c r="AW95" i="3" s="1"/>
  <c r="AG29" i="3"/>
  <c r="AE29" i="3"/>
  <c r="AF29" i="3"/>
  <c r="AS29" i="3"/>
  <c r="AS17" i="3"/>
  <c r="AF17" i="3"/>
  <c r="AE17" i="3"/>
  <c r="AE112" i="3"/>
  <c r="AE82" i="3"/>
  <c r="AF77" i="3"/>
  <c r="AE77" i="3"/>
  <c r="AG77" i="3"/>
  <c r="AS77" i="3"/>
  <c r="AG100" i="3"/>
  <c r="AS100" i="3"/>
  <c r="AP48" i="3"/>
  <c r="AH48" i="3"/>
  <c r="AW48" i="3" s="1"/>
  <c r="AV54" i="3"/>
  <c r="AH54" i="3"/>
  <c r="AW54" i="3" s="1"/>
  <c r="AP54" i="3"/>
  <c r="AE57" i="3"/>
  <c r="AF57" i="3"/>
  <c r="AS32" i="3"/>
  <c r="AF32" i="3"/>
  <c r="AG32" i="3"/>
  <c r="AE32" i="3"/>
  <c r="AG20" i="3"/>
  <c r="AE20" i="3"/>
  <c r="AE96" i="3"/>
  <c r="AF113" i="3"/>
  <c r="AG112" i="3"/>
  <c r="AS82" i="3"/>
  <c r="AF82" i="3"/>
  <c r="AV17" i="3"/>
  <c r="AP17" i="3"/>
  <c r="AP40" i="3"/>
  <c r="AH40" i="3"/>
  <c r="AW40" i="3" s="1"/>
  <c r="AV64" i="3"/>
  <c r="AP64" i="3"/>
  <c r="AH64" i="3"/>
  <c r="AW64" i="3" s="1"/>
  <c r="AH75" i="3"/>
  <c r="AW75" i="3" s="1"/>
  <c r="AP75" i="3"/>
  <c r="AH97" i="3"/>
  <c r="AW97" i="3" s="1"/>
  <c r="AP97" i="3"/>
  <c r="AS75" i="3"/>
  <c r="AH2" i="12" l="1"/>
  <c r="AH1" i="12" s="1"/>
  <c r="AG2" i="12"/>
  <c r="AG1" i="12" s="1"/>
  <c r="D111" i="3"/>
  <c r="A118" i="3"/>
  <c r="BE90" i="3"/>
  <c r="BG90" i="3" s="1"/>
  <c r="BF90" i="3" s="1"/>
  <c r="BH83" i="3"/>
  <c r="BJ83" i="3" s="1"/>
  <c r="BI83" i="3" s="1"/>
  <c r="B90" i="3"/>
  <c r="E90" i="3" s="1"/>
  <c r="A90" i="3"/>
  <c r="B118" i="3"/>
  <c r="E118" i="3" s="1"/>
  <c r="BE83" i="3"/>
  <c r="BG83" i="3" s="1"/>
  <c r="BF83" i="3" s="1"/>
  <c r="BH99" i="3"/>
  <c r="BJ99" i="3" s="1"/>
  <c r="BI99" i="3" s="1"/>
  <c r="B111" i="3"/>
  <c r="E111" i="3" s="1"/>
  <c r="BH111" i="3"/>
  <c r="BJ111" i="3" s="1"/>
  <c r="BI111" i="3" s="1"/>
  <c r="BE118" i="3"/>
  <c r="BG118" i="3" s="1"/>
  <c r="BF118" i="3" s="1"/>
  <c r="AF80" i="3"/>
  <c r="D83" i="3"/>
  <c r="B83" i="3"/>
  <c r="E83" i="3" s="1"/>
  <c r="A111" i="3"/>
  <c r="B99" i="3"/>
  <c r="E99" i="3" s="1"/>
  <c r="A99" i="3"/>
  <c r="BE99" i="3"/>
  <c r="BG99" i="3" s="1"/>
  <c r="BF99" i="3" s="1"/>
  <c r="BE109" i="3"/>
  <c r="BG109" i="3" s="1"/>
  <c r="BF109" i="3" s="1"/>
  <c r="D109" i="3"/>
  <c r="D90" i="3"/>
  <c r="A109" i="3"/>
  <c r="B109" i="3"/>
  <c r="E109" i="3" s="1"/>
  <c r="AC2" i="12"/>
  <c r="AC1" i="12" s="1"/>
  <c r="AB13" i="12"/>
  <c r="AB12" i="12"/>
  <c r="AS80" i="3"/>
  <c r="AB11" i="12"/>
  <c r="AB16" i="12"/>
  <c r="AB14" i="12"/>
  <c r="AB15" i="12"/>
  <c r="AB9" i="12"/>
  <c r="P116" i="3"/>
  <c r="AB27" i="12"/>
  <c r="AA2" i="12"/>
  <c r="AA1" i="12" s="1"/>
  <c r="M109" i="4"/>
  <c r="M37" i="4"/>
  <c r="P114" i="3"/>
  <c r="AJ45" i="3"/>
  <c r="P117" i="3"/>
  <c r="AE80" i="3"/>
  <c r="P56" i="3"/>
  <c r="AI56" i="3"/>
  <c r="P74" i="3"/>
  <c r="AS85" i="3"/>
  <c r="AF85" i="3"/>
  <c r="P90" i="3"/>
  <c r="AG85" i="3"/>
  <c r="P76" i="3"/>
  <c r="AH85" i="3"/>
  <c r="AW85" i="3" s="1"/>
  <c r="AW1" i="3" s="1"/>
  <c r="AW2" i="3" s="1"/>
  <c r="P62" i="3"/>
  <c r="AV85" i="3"/>
  <c r="AV1" i="3" s="1"/>
  <c r="AV2" i="3" s="1"/>
  <c r="AB8" i="12"/>
  <c r="AB10" i="12"/>
  <c r="BE82" i="3"/>
  <c r="BG82" i="3" s="1"/>
  <c r="BF82" i="3" s="1"/>
  <c r="BH82" i="3"/>
  <c r="BJ82" i="3" s="1"/>
  <c r="BI82" i="3" s="1"/>
  <c r="D82" i="3"/>
  <c r="A82" i="3"/>
  <c r="B82" i="3"/>
  <c r="E82" i="3" s="1"/>
  <c r="BE106" i="3"/>
  <c r="BG106" i="3" s="1"/>
  <c r="BF106" i="3" s="1"/>
  <c r="D106" i="3"/>
  <c r="A106" i="3"/>
  <c r="B106" i="3"/>
  <c r="E106" i="3" s="1"/>
  <c r="BH106" i="3"/>
  <c r="BJ106" i="3" s="1"/>
  <c r="BI106" i="3" s="1"/>
  <c r="A115" i="3"/>
  <c r="B115" i="3"/>
  <c r="E115" i="3" s="1"/>
  <c r="BE115" i="3"/>
  <c r="BG115" i="3" s="1"/>
  <c r="BF115" i="3" s="1"/>
  <c r="D115" i="3"/>
  <c r="BH115" i="3"/>
  <c r="BJ115" i="3" s="1"/>
  <c r="BI115" i="3" s="1"/>
  <c r="B94" i="3"/>
  <c r="E94" i="3" s="1"/>
  <c r="A94" i="3"/>
  <c r="BE94" i="3"/>
  <c r="BG94" i="3" s="1"/>
  <c r="BF94" i="3" s="1"/>
  <c r="D94" i="3"/>
  <c r="BH94" i="3"/>
  <c r="BJ94" i="3" s="1"/>
  <c r="BI94" i="3" s="1"/>
  <c r="AB20" i="12"/>
  <c r="AB5" i="12"/>
  <c r="BH95" i="3"/>
  <c r="BJ95" i="3" s="1"/>
  <c r="BI95" i="3" s="1"/>
  <c r="D95" i="3"/>
  <c r="A95" i="3"/>
  <c r="B95" i="3"/>
  <c r="E95" i="3" s="1"/>
  <c r="BE95" i="3"/>
  <c r="BG95" i="3" s="1"/>
  <c r="BF95" i="3" s="1"/>
  <c r="AB17" i="12"/>
  <c r="AB18" i="12"/>
  <c r="AB22" i="12"/>
  <c r="AB21" i="12"/>
  <c r="AB19" i="12"/>
  <c r="D105" i="3"/>
  <c r="BE105" i="3"/>
  <c r="BG105" i="3" s="1"/>
  <c r="BF105" i="3" s="1"/>
  <c r="A105" i="3"/>
  <c r="B105" i="3"/>
  <c r="E105" i="3" s="1"/>
  <c r="BH105" i="3"/>
  <c r="BJ105" i="3" s="1"/>
  <c r="BI105" i="3" s="1"/>
  <c r="AB6" i="12"/>
  <c r="AB24" i="12"/>
  <c r="AB26" i="12"/>
  <c r="AB25" i="12"/>
  <c r="AB23" i="12"/>
  <c r="AB28" i="12"/>
  <c r="AB7" i="12"/>
  <c r="AJ71" i="3"/>
  <c r="AI30" i="3"/>
  <c r="P102" i="3"/>
  <c r="AI71" i="3"/>
  <c r="AJ98" i="3"/>
  <c r="P53" i="3"/>
  <c r="AI87" i="3"/>
  <c r="AJ87" i="3"/>
  <c r="P87" i="3"/>
  <c r="P79" i="3"/>
  <c r="P100" i="3"/>
  <c r="P118" i="3"/>
  <c r="AJ74" i="3"/>
  <c r="P66" i="3"/>
  <c r="P98" i="3"/>
  <c r="P93" i="3"/>
  <c r="AI84" i="3"/>
  <c r="AI89" i="3"/>
  <c r="P99" i="3"/>
  <c r="P88" i="3"/>
  <c r="P60" i="3"/>
  <c r="AI98" i="3"/>
  <c r="AI76" i="3"/>
  <c r="AJ76" i="3"/>
  <c r="AI66" i="3"/>
  <c r="P97" i="3"/>
  <c r="AI115" i="3"/>
  <c r="AJ88" i="3"/>
  <c r="AI74" i="3"/>
  <c r="AI118" i="3"/>
  <c r="AJ118" i="3"/>
  <c r="AJ114" i="3"/>
  <c r="AI86" i="3"/>
  <c r="P73" i="3"/>
  <c r="AI91" i="3"/>
  <c r="AI27" i="3"/>
  <c r="AI45" i="3"/>
  <c r="AJ72" i="3"/>
  <c r="P71" i="3"/>
  <c r="AI102" i="3"/>
  <c r="AJ102" i="3"/>
  <c r="AJ91" i="3"/>
  <c r="AI114" i="3"/>
  <c r="P34" i="3"/>
  <c r="P50" i="3"/>
  <c r="AI73" i="3"/>
  <c r="AI95" i="3"/>
  <c r="P89" i="3"/>
  <c r="P70" i="3"/>
  <c r="AJ95" i="3"/>
  <c r="P51" i="3"/>
  <c r="AJ60" i="3"/>
  <c r="P49" i="3"/>
  <c r="P39" i="3"/>
  <c r="AI101" i="3"/>
  <c r="AJ89" i="3"/>
  <c r="AJ119" i="3"/>
  <c r="P95" i="3"/>
  <c r="AJ73" i="3"/>
  <c r="AJ116" i="3"/>
  <c r="AJ101" i="3"/>
  <c r="P101" i="3"/>
  <c r="AJ117" i="3"/>
  <c r="AI99" i="3"/>
  <c r="P24" i="3"/>
  <c r="AJ70" i="3"/>
  <c r="AJ84" i="3"/>
  <c r="AI62" i="3"/>
  <c r="AI116" i="3"/>
  <c r="AI88" i="3"/>
  <c r="AJ55" i="3"/>
  <c r="AY1" i="3"/>
  <c r="AY2" i="3" s="1"/>
  <c r="AI78" i="3"/>
  <c r="AI92" i="3"/>
  <c r="AM1" i="3"/>
  <c r="AM2" i="3" s="1"/>
  <c r="P11" i="3"/>
  <c r="AJ39" i="3"/>
  <c r="AJ23" i="3"/>
  <c r="P115" i="3"/>
  <c r="P119" i="3"/>
  <c r="P75" i="3"/>
  <c r="AJ86" i="3"/>
  <c r="AJ90" i="3"/>
  <c r="P84" i="3"/>
  <c r="P72" i="3"/>
  <c r="AJ62" i="3"/>
  <c r="AI72" i="3"/>
  <c r="AI90" i="3"/>
  <c r="AJ24" i="3"/>
  <c r="P44" i="3"/>
  <c r="AI117" i="3"/>
  <c r="BC117" i="3" s="1"/>
  <c r="AI70" i="3"/>
  <c r="P52" i="3"/>
  <c r="AJ53" i="3"/>
  <c r="P64" i="3"/>
  <c r="AJ97" i="3"/>
  <c r="AJ38" i="3"/>
  <c r="AJ99" i="3"/>
  <c r="P22" i="3"/>
  <c r="P86" i="3"/>
  <c r="AJ115" i="3"/>
  <c r="AI53" i="3"/>
  <c r="AI119" i="3"/>
  <c r="P106" i="3"/>
  <c r="AI23" i="3"/>
  <c r="P23" i="3"/>
  <c r="AI97" i="3"/>
  <c r="AJ9" i="3"/>
  <c r="P25" i="3"/>
  <c r="AI39" i="3"/>
  <c r="P36" i="3"/>
  <c r="P6" i="3"/>
  <c r="AI19" i="3"/>
  <c r="AJ35" i="3"/>
  <c r="P19" i="3"/>
  <c r="P55" i="3"/>
  <c r="P45" i="3"/>
  <c r="P35" i="3"/>
  <c r="AI49" i="3"/>
  <c r="P41" i="3"/>
  <c r="AI33" i="3"/>
  <c r="AJ33" i="3"/>
  <c r="AI94" i="3"/>
  <c r="AJ66" i="3"/>
  <c r="P33" i="3"/>
  <c r="AJ43" i="3"/>
  <c r="AI65" i="3"/>
  <c r="P47" i="3"/>
  <c r="P43" i="3"/>
  <c r="P63" i="3"/>
  <c r="AI15" i="3"/>
  <c r="AI8" i="3"/>
  <c r="AJ41" i="3"/>
  <c r="AI43" i="3"/>
  <c r="AI11" i="3"/>
  <c r="AJ49" i="3"/>
  <c r="AI55" i="3"/>
  <c r="P65" i="3"/>
  <c r="AJ47" i="3"/>
  <c r="AJ65" i="3"/>
  <c r="AI47" i="3"/>
  <c r="AI35" i="3"/>
  <c r="P10" i="3"/>
  <c r="AJ27" i="3"/>
  <c r="AI63" i="3"/>
  <c r="AJ63" i="3"/>
  <c r="AJ10" i="3"/>
  <c r="AI41" i="3"/>
  <c r="AJ11" i="3"/>
  <c r="AI52" i="3"/>
  <c r="P54" i="3"/>
  <c r="AJ78" i="3"/>
  <c r="P59" i="3"/>
  <c r="AI13" i="3"/>
  <c r="AJ12" i="3"/>
  <c r="AJ64" i="3"/>
  <c r="P78" i="3"/>
  <c r="P108" i="3"/>
  <c r="AI18" i="3"/>
  <c r="AJ104" i="3"/>
  <c r="P94" i="3"/>
  <c r="AJ19" i="3"/>
  <c r="AJ15" i="3"/>
  <c r="AN1" i="3"/>
  <c r="AN2" i="3" s="1"/>
  <c r="AI10" i="3"/>
  <c r="AJ56" i="3"/>
  <c r="P12" i="3"/>
  <c r="AJ94" i="3"/>
  <c r="P8" i="3"/>
  <c r="AI64" i="3"/>
  <c r="AQ1" i="3"/>
  <c r="AQ2" i="3" s="1"/>
  <c r="AI69" i="3"/>
  <c r="AJ8" i="3"/>
  <c r="AJ13" i="3"/>
  <c r="AI12" i="3"/>
  <c r="P13" i="3"/>
  <c r="AJ44" i="3"/>
  <c r="AJ18" i="3"/>
  <c r="AI61" i="3"/>
  <c r="AI28" i="3"/>
  <c r="AR1" i="3"/>
  <c r="AR2" i="3" s="1"/>
  <c r="P18" i="3"/>
  <c r="AI36" i="3"/>
  <c r="AI38" i="3"/>
  <c r="AX1" i="3"/>
  <c r="AX2" i="3" s="1"/>
  <c r="AL1" i="3"/>
  <c r="AL2" i="3" s="1"/>
  <c r="AJ48" i="3"/>
  <c r="AJ36" i="3"/>
  <c r="AJ54" i="3"/>
  <c r="P38" i="3"/>
  <c r="P30" i="3"/>
  <c r="P31" i="3"/>
  <c r="AI60" i="3"/>
  <c r="BA1" i="3"/>
  <c r="BA2" i="3" s="1"/>
  <c r="AJ30" i="3"/>
  <c r="AJ28" i="3"/>
  <c r="P7" i="3"/>
  <c r="AI104" i="3"/>
  <c r="AJ42" i="3"/>
  <c r="AJ52" i="3"/>
  <c r="P32" i="3"/>
  <c r="AJ16" i="3"/>
  <c r="AJ81" i="3"/>
  <c r="AI50" i="3"/>
  <c r="AI48" i="3"/>
  <c r="AJ6" i="3"/>
  <c r="AU6" i="3" s="1"/>
  <c r="AJ93" i="3"/>
  <c r="P105" i="3"/>
  <c r="AJ59" i="3"/>
  <c r="AI67" i="3"/>
  <c r="P67" i="3"/>
  <c r="AI54" i="3"/>
  <c r="P104" i="3"/>
  <c r="AI42" i="3"/>
  <c r="P92" i="3"/>
  <c r="AJ31" i="3"/>
  <c r="AJ92" i="3"/>
  <c r="AI24" i="3"/>
  <c r="P40" i="3"/>
  <c r="AJ34" i="3"/>
  <c r="AJ22" i="3"/>
  <c r="P61" i="3"/>
  <c r="AI9" i="3"/>
  <c r="AI34" i="3"/>
  <c r="AI113" i="3"/>
  <c r="P42" i="3"/>
  <c r="AI6" i="3"/>
  <c r="AJ58" i="3"/>
  <c r="AI22" i="3"/>
  <c r="P28" i="3"/>
  <c r="AI93" i="3"/>
  <c r="P103" i="3"/>
  <c r="AI106" i="3"/>
  <c r="AI105" i="3"/>
  <c r="AJ50" i="3"/>
  <c r="AJ67" i="3"/>
  <c r="AJ25" i="3"/>
  <c r="AI25" i="3"/>
  <c r="AJ106" i="3"/>
  <c r="AJ105" i="3"/>
  <c r="AI26" i="3"/>
  <c r="P69" i="3"/>
  <c r="P21" i="3"/>
  <c r="P16" i="3"/>
  <c r="P68" i="3"/>
  <c r="P111" i="3"/>
  <c r="P109" i="3"/>
  <c r="AJ61" i="3"/>
  <c r="P48" i="3"/>
  <c r="AI59" i="3"/>
  <c r="P9" i="3"/>
  <c r="AJ103" i="3"/>
  <c r="AI31" i="3"/>
  <c r="AI110" i="3"/>
  <c r="P46" i="3"/>
  <c r="AJ46" i="3"/>
  <c r="AI46" i="3"/>
  <c r="AJ79" i="3"/>
  <c r="AI79" i="3"/>
  <c r="AI44" i="3"/>
  <c r="AI83" i="3"/>
  <c r="AI103" i="3"/>
  <c r="P37" i="3"/>
  <c r="P58" i="3"/>
  <c r="AI58" i="3"/>
  <c r="AJ21" i="3"/>
  <c r="AI21" i="3"/>
  <c r="AI7" i="3"/>
  <c r="AJ7" i="3"/>
  <c r="AU7" i="3" s="1"/>
  <c r="P14" i="3"/>
  <c r="AJ68" i="3"/>
  <c r="AI68" i="3"/>
  <c r="AJ109" i="3"/>
  <c r="AI109" i="3"/>
  <c r="AJ69" i="3"/>
  <c r="AJ111" i="3"/>
  <c r="P110" i="3"/>
  <c r="AJ110" i="3"/>
  <c r="AI107" i="3"/>
  <c r="AJ107" i="3"/>
  <c r="P81" i="3"/>
  <c r="P17" i="3"/>
  <c r="AJ113" i="3"/>
  <c r="P26" i="3"/>
  <c r="AJ26" i="3"/>
  <c r="AI16" i="3"/>
  <c r="AI111" i="3"/>
  <c r="AI108" i="3"/>
  <c r="AJ108" i="3"/>
  <c r="P107" i="3"/>
  <c r="AI81" i="3"/>
  <c r="AI37" i="3"/>
  <c r="AJ37" i="3"/>
  <c r="AI14" i="3"/>
  <c r="AJ14" i="3"/>
  <c r="AI82" i="3"/>
  <c r="AJ82" i="3"/>
  <c r="P96" i="3"/>
  <c r="P57" i="3"/>
  <c r="AI57" i="3"/>
  <c r="AJ57" i="3"/>
  <c r="AJ77" i="3"/>
  <c r="AI77" i="3"/>
  <c r="P112" i="3"/>
  <c r="AJ29" i="3"/>
  <c r="AI29" i="3"/>
  <c r="AP1" i="3"/>
  <c r="AP2" i="3" s="1"/>
  <c r="P113" i="3"/>
  <c r="AI17" i="3"/>
  <c r="AJ17" i="3"/>
  <c r="AI75" i="3"/>
  <c r="AJ75" i="3"/>
  <c r="AI112" i="3"/>
  <c r="AJ112" i="3"/>
  <c r="P20" i="3"/>
  <c r="AI20" i="3"/>
  <c r="AJ20" i="3"/>
  <c r="P82" i="3"/>
  <c r="AJ32" i="3"/>
  <c r="AI32" i="3"/>
  <c r="AI100" i="3"/>
  <c r="AJ100" i="3"/>
  <c r="P77" i="3"/>
  <c r="P29" i="3"/>
  <c r="P83" i="3"/>
  <c r="AJ83" i="3"/>
  <c r="AI51" i="3"/>
  <c r="AJ51" i="3"/>
  <c r="AJ40" i="3"/>
  <c r="AI40" i="3"/>
  <c r="AJ96" i="3"/>
  <c r="AI96" i="3"/>
  <c r="BC53" i="3" l="1"/>
  <c r="P80" i="3"/>
  <c r="T11" i="12"/>
  <c r="S7" i="13" s="1"/>
  <c r="AS1" i="3"/>
  <c r="AS2" i="3" s="1"/>
  <c r="AI80" i="3"/>
  <c r="T17" i="12"/>
  <c r="C36" i="13" s="1"/>
  <c r="BC45" i="3"/>
  <c r="U56" i="3"/>
  <c r="AJ80" i="3"/>
  <c r="U53" i="3"/>
  <c r="C30" i="3"/>
  <c r="AT89" i="3"/>
  <c r="C71" i="3"/>
  <c r="AI85" i="3"/>
  <c r="C84" i="3"/>
  <c r="U71" i="3"/>
  <c r="P85" i="3"/>
  <c r="AJ85" i="3"/>
  <c r="AF43" i="13"/>
  <c r="AF46" i="13"/>
  <c r="AF49" i="13"/>
  <c r="AF52" i="13"/>
  <c r="N14" i="4"/>
  <c r="K44" i="10"/>
  <c r="L44" i="10" s="1"/>
  <c r="AF55" i="13"/>
  <c r="AF40" i="13"/>
  <c r="T23" i="12"/>
  <c r="AG26" i="13"/>
  <c r="AG20" i="13"/>
  <c r="AG17" i="13"/>
  <c r="AG11" i="13"/>
  <c r="AG14" i="13"/>
  <c r="AG23" i="13"/>
  <c r="K21" i="10"/>
  <c r="L21" i="10" s="1"/>
  <c r="T5" i="12"/>
  <c r="AB2" i="12"/>
  <c r="AB1" i="12" s="1"/>
  <c r="H3" i="12" s="1"/>
  <c r="C55" i="3"/>
  <c r="AT84" i="3"/>
  <c r="U114" i="3"/>
  <c r="BC84" i="3"/>
  <c r="AT71" i="3"/>
  <c r="BC71" i="3"/>
  <c r="AT87" i="3"/>
  <c r="C114" i="3"/>
  <c r="BC70" i="3"/>
  <c r="U74" i="3"/>
  <c r="U98" i="3"/>
  <c r="U87" i="3"/>
  <c r="BC87" i="3"/>
  <c r="BC86" i="3"/>
  <c r="C87" i="3"/>
  <c r="AT98" i="3"/>
  <c r="BC92" i="3"/>
  <c r="AT74" i="3"/>
  <c r="BC98" i="3"/>
  <c r="BC114" i="3"/>
  <c r="U88" i="3"/>
  <c r="U84" i="3"/>
  <c r="AT45" i="3"/>
  <c r="C98" i="3"/>
  <c r="BC91" i="3"/>
  <c r="AT118" i="3"/>
  <c r="U27" i="3"/>
  <c r="BC65" i="3"/>
  <c r="AT55" i="3"/>
  <c r="AT76" i="3"/>
  <c r="BC27" i="3"/>
  <c r="U76" i="3"/>
  <c r="C76" i="3"/>
  <c r="C90" i="3"/>
  <c r="AT102" i="3"/>
  <c r="AT86" i="3"/>
  <c r="AT27" i="3"/>
  <c r="BC76" i="3"/>
  <c r="C27" i="3"/>
  <c r="BC88" i="3"/>
  <c r="AT114" i="3"/>
  <c r="BC118" i="3"/>
  <c r="U86" i="3"/>
  <c r="C45" i="3"/>
  <c r="C74" i="3"/>
  <c r="BC102" i="3"/>
  <c r="U102" i="3"/>
  <c r="C86" i="3"/>
  <c r="U45" i="3"/>
  <c r="BC74" i="3"/>
  <c r="C88" i="3"/>
  <c r="C102" i="3"/>
  <c r="U66" i="3"/>
  <c r="AT23" i="3"/>
  <c r="U115" i="3"/>
  <c r="U39" i="3"/>
  <c r="BC116" i="3"/>
  <c r="BC101" i="3"/>
  <c r="AT95" i="3"/>
  <c r="U73" i="3"/>
  <c r="C91" i="3"/>
  <c r="U72" i="3"/>
  <c r="U118" i="3"/>
  <c r="AT88" i="3"/>
  <c r="U70" i="3"/>
  <c r="C118" i="3"/>
  <c r="C72" i="3"/>
  <c r="U91" i="3"/>
  <c r="C95" i="3"/>
  <c r="BC72" i="3"/>
  <c r="AT91" i="3"/>
  <c r="C73" i="3"/>
  <c r="C28" i="3"/>
  <c r="BC95" i="3"/>
  <c r="AT73" i="3"/>
  <c r="BC78" i="3"/>
  <c r="AT65" i="3"/>
  <c r="AT94" i="3"/>
  <c r="BC90" i="3"/>
  <c r="BC62" i="3"/>
  <c r="C116" i="3"/>
  <c r="U95" i="3"/>
  <c r="BC73" i="3"/>
  <c r="C38" i="3"/>
  <c r="C119" i="3"/>
  <c r="U89" i="3"/>
  <c r="U65" i="3"/>
  <c r="BC9" i="3"/>
  <c r="BC60" i="3"/>
  <c r="C70" i="3"/>
  <c r="U28" i="3"/>
  <c r="BC89" i="3"/>
  <c r="AT90" i="3"/>
  <c r="C65" i="3"/>
  <c r="AT70" i="3"/>
  <c r="BC99" i="3"/>
  <c r="U62" i="3"/>
  <c r="C89" i="3"/>
  <c r="U90" i="3"/>
  <c r="U35" i="3"/>
  <c r="AT116" i="3"/>
  <c r="AT19" i="3"/>
  <c r="BC23" i="3"/>
  <c r="BC39" i="3"/>
  <c r="C101" i="3"/>
  <c r="U116" i="3"/>
  <c r="U19" i="3"/>
  <c r="C19" i="3"/>
  <c r="U23" i="3"/>
  <c r="U101" i="3"/>
  <c r="AT101" i="3"/>
  <c r="AT15" i="3"/>
  <c r="C115" i="3"/>
  <c r="AT115" i="3"/>
  <c r="BC33" i="3"/>
  <c r="C23" i="3"/>
  <c r="C106" i="3"/>
  <c r="C22" i="3"/>
  <c r="U10" i="3"/>
  <c r="C49" i="3"/>
  <c r="AT39" i="3"/>
  <c r="AT53" i="3"/>
  <c r="U30" i="3"/>
  <c r="AT30" i="3"/>
  <c r="C62" i="3"/>
  <c r="C39" i="3"/>
  <c r="U99" i="3"/>
  <c r="C99" i="3"/>
  <c r="AT99" i="3"/>
  <c r="U94" i="3"/>
  <c r="C53" i="3"/>
  <c r="AT62" i="3"/>
  <c r="BC8" i="3"/>
  <c r="AT13" i="3"/>
  <c r="AT41" i="3"/>
  <c r="BC43" i="3"/>
  <c r="U49" i="3"/>
  <c r="U97" i="3"/>
  <c r="AT93" i="3"/>
  <c r="AT36" i="3"/>
  <c r="C117" i="3"/>
  <c r="U41" i="3"/>
  <c r="BC115" i="3"/>
  <c r="BC28" i="3"/>
  <c r="U119" i="3"/>
  <c r="AT72" i="3"/>
  <c r="U117" i="3"/>
  <c r="AT117" i="3"/>
  <c r="BC19" i="3"/>
  <c r="C13" i="3"/>
  <c r="U43" i="3"/>
  <c r="U24" i="3"/>
  <c r="C54" i="3"/>
  <c r="BC94" i="3"/>
  <c r="U13" i="3"/>
  <c r="BC41" i="3"/>
  <c r="BC55" i="3"/>
  <c r="AT43" i="3"/>
  <c r="C10" i="3"/>
  <c r="BC119" i="3"/>
  <c r="BC97" i="3"/>
  <c r="BC10" i="3"/>
  <c r="U42" i="3"/>
  <c r="C52" i="3"/>
  <c r="BC61" i="3"/>
  <c r="BC49" i="3"/>
  <c r="AT8" i="3"/>
  <c r="C94" i="3"/>
  <c r="BC13" i="3"/>
  <c r="C41" i="3"/>
  <c r="U55" i="3"/>
  <c r="U81" i="3"/>
  <c r="C43" i="3"/>
  <c r="AT10" i="3"/>
  <c r="AT119" i="3"/>
  <c r="C97" i="3"/>
  <c r="BC30" i="3"/>
  <c r="AT97" i="3"/>
  <c r="BC38" i="3"/>
  <c r="C35" i="3"/>
  <c r="BC18" i="3"/>
  <c r="BC12" i="3"/>
  <c r="C104" i="3"/>
  <c r="BC64" i="3"/>
  <c r="AT47" i="3"/>
  <c r="BC11" i="3"/>
  <c r="AT33" i="3"/>
  <c r="C42" i="3"/>
  <c r="BC42" i="3"/>
  <c r="AT52" i="3"/>
  <c r="AT103" i="3"/>
  <c r="C33" i="3"/>
  <c r="U33" i="3"/>
  <c r="AT49" i="3"/>
  <c r="U11" i="3"/>
  <c r="C47" i="3"/>
  <c r="AT66" i="3"/>
  <c r="AT11" i="3"/>
  <c r="U47" i="3"/>
  <c r="C66" i="3"/>
  <c r="C11" i="3"/>
  <c r="BC66" i="3"/>
  <c r="C78" i="3"/>
  <c r="BC63" i="3"/>
  <c r="BC47" i="3"/>
  <c r="C31" i="3"/>
  <c r="C64" i="3"/>
  <c r="C105" i="3"/>
  <c r="AT63" i="3"/>
  <c r="BC54" i="3"/>
  <c r="BC35" i="3"/>
  <c r="C56" i="3"/>
  <c r="AT35" i="3"/>
  <c r="U105" i="3"/>
  <c r="C113" i="3"/>
  <c r="BC105" i="3"/>
  <c r="U78" i="3"/>
  <c r="U63" i="3"/>
  <c r="C63" i="3"/>
  <c r="U106" i="3"/>
  <c r="C34" i="3"/>
  <c r="AT28" i="3"/>
  <c r="U64" i="3"/>
  <c r="AT64" i="3"/>
  <c r="AT105" i="3"/>
  <c r="AT78" i="3"/>
  <c r="U15" i="3"/>
  <c r="C93" i="3"/>
  <c r="BC93" i="3"/>
  <c r="U104" i="3"/>
  <c r="C61" i="3"/>
  <c r="AT104" i="3"/>
  <c r="AT34" i="3"/>
  <c r="U38" i="3"/>
  <c r="AT61" i="3"/>
  <c r="BC52" i="3"/>
  <c r="BC36" i="3"/>
  <c r="U31" i="3"/>
  <c r="C18" i="3"/>
  <c r="U12" i="3"/>
  <c r="BC104" i="3"/>
  <c r="AT38" i="3"/>
  <c r="U61" i="3"/>
  <c r="U52" i="3"/>
  <c r="U93" i="3"/>
  <c r="U8" i="3"/>
  <c r="BC50" i="3"/>
  <c r="AT42" i="3"/>
  <c r="BC31" i="3"/>
  <c r="C81" i="3"/>
  <c r="AT18" i="3"/>
  <c r="AT12" i="3"/>
  <c r="AT31" i="3"/>
  <c r="AT6" i="3"/>
  <c r="V6" i="3" s="1"/>
  <c r="C6" i="3" s="1"/>
  <c r="U18" i="3"/>
  <c r="BC26" i="3"/>
  <c r="AT22" i="3"/>
  <c r="BC56" i="3"/>
  <c r="C12" i="3"/>
  <c r="BC79" i="3"/>
  <c r="AT48" i="3"/>
  <c r="C15" i="3"/>
  <c r="BC15" i="3"/>
  <c r="BC69" i="3"/>
  <c r="AT56" i="3"/>
  <c r="U48" i="3"/>
  <c r="U59" i="3"/>
  <c r="C36" i="3"/>
  <c r="U36" i="3"/>
  <c r="U34" i="3"/>
  <c r="C60" i="3"/>
  <c r="AT60" i="3"/>
  <c r="U60" i="3"/>
  <c r="C92" i="3"/>
  <c r="U69" i="3"/>
  <c r="U54" i="3"/>
  <c r="BC22" i="3"/>
  <c r="C9" i="3"/>
  <c r="C48" i="3"/>
  <c r="AT9" i="3"/>
  <c r="U92" i="3"/>
  <c r="AT54" i="3"/>
  <c r="U103" i="3"/>
  <c r="U22" i="3"/>
  <c r="BC48" i="3"/>
  <c r="AT113" i="3"/>
  <c r="BC103" i="3"/>
  <c r="U9" i="3"/>
  <c r="C67" i="3"/>
  <c r="AT67" i="3"/>
  <c r="BC67" i="3"/>
  <c r="U67" i="3"/>
  <c r="BC113" i="3"/>
  <c r="AT81" i="3"/>
  <c r="U113" i="3"/>
  <c r="BC81" i="3"/>
  <c r="BC34" i="3"/>
  <c r="C103" i="3"/>
  <c r="U6" i="3"/>
  <c r="C24" i="3"/>
  <c r="AT50" i="3"/>
  <c r="U50" i="3"/>
  <c r="BC24" i="3"/>
  <c r="AT92" i="3"/>
  <c r="BC59" i="3"/>
  <c r="U110" i="3"/>
  <c r="C59" i="3"/>
  <c r="C21" i="3"/>
  <c r="AT107" i="3"/>
  <c r="BC6" i="3"/>
  <c r="AT24" i="3"/>
  <c r="C50" i="3"/>
  <c r="AT69" i="3"/>
  <c r="BC106" i="3"/>
  <c r="AT44" i="3"/>
  <c r="U44" i="3"/>
  <c r="C44" i="3"/>
  <c r="BC44" i="3"/>
  <c r="BC46" i="3"/>
  <c r="AT46" i="3"/>
  <c r="C46" i="3"/>
  <c r="U46" i="3"/>
  <c r="U25" i="3"/>
  <c r="BC25" i="3"/>
  <c r="AT25" i="3"/>
  <c r="C25" i="3"/>
  <c r="AT106" i="3"/>
  <c r="AT83" i="3"/>
  <c r="C69" i="3"/>
  <c r="AT59" i="3"/>
  <c r="C79" i="3"/>
  <c r="U79" i="3"/>
  <c r="AT79" i="3"/>
  <c r="BC109" i="3"/>
  <c r="C58" i="3"/>
  <c r="BC58" i="3"/>
  <c r="AT58" i="3"/>
  <c r="U58" i="3"/>
  <c r="U26" i="3"/>
  <c r="AT110" i="3"/>
  <c r="AT108" i="3"/>
  <c r="C108" i="3"/>
  <c r="U108" i="3"/>
  <c r="BC108" i="3"/>
  <c r="U68" i="3"/>
  <c r="AT68" i="3"/>
  <c r="BC68" i="3"/>
  <c r="C68" i="3"/>
  <c r="BC7" i="3"/>
  <c r="U7" i="3"/>
  <c r="AT7" i="3"/>
  <c r="AT26" i="3"/>
  <c r="BC110" i="3"/>
  <c r="BC37" i="3"/>
  <c r="C37" i="3"/>
  <c r="U37" i="3"/>
  <c r="AT37" i="3"/>
  <c r="U111" i="3"/>
  <c r="BC111" i="3"/>
  <c r="AT111" i="3"/>
  <c r="C111" i="3"/>
  <c r="U107" i="3"/>
  <c r="BC107" i="3"/>
  <c r="C107" i="3"/>
  <c r="U21" i="3"/>
  <c r="AT21" i="3"/>
  <c r="BC21" i="3"/>
  <c r="C26" i="3"/>
  <c r="C110" i="3"/>
  <c r="C14" i="3"/>
  <c r="BC14" i="3"/>
  <c r="AT14" i="3"/>
  <c r="U14" i="3"/>
  <c r="AT16" i="3"/>
  <c r="BC16" i="3"/>
  <c r="U16" i="3"/>
  <c r="U109" i="3"/>
  <c r="AT109" i="3"/>
  <c r="C109" i="3"/>
  <c r="C16" i="3"/>
  <c r="AT40" i="3"/>
  <c r="C40" i="3"/>
  <c r="BC40" i="3"/>
  <c r="U40" i="3"/>
  <c r="BC20" i="3"/>
  <c r="U20" i="3"/>
  <c r="AT20" i="3"/>
  <c r="C20" i="3"/>
  <c r="AT17" i="3"/>
  <c r="U17" i="3"/>
  <c r="C17" i="3"/>
  <c r="BC17" i="3"/>
  <c r="C83" i="3"/>
  <c r="U83" i="3"/>
  <c r="BC96" i="3"/>
  <c r="AT96" i="3"/>
  <c r="U96" i="3"/>
  <c r="C96" i="3"/>
  <c r="BC100" i="3"/>
  <c r="U100" i="3"/>
  <c r="AT100" i="3"/>
  <c r="C100" i="3"/>
  <c r="U75" i="3"/>
  <c r="BC75" i="3"/>
  <c r="AT75" i="3"/>
  <c r="C75" i="3"/>
  <c r="AT57" i="3"/>
  <c r="C57" i="3"/>
  <c r="BC57" i="3"/>
  <c r="U57" i="3"/>
  <c r="BC82" i="3"/>
  <c r="U82" i="3"/>
  <c r="AT82" i="3"/>
  <c r="C82" i="3"/>
  <c r="BC83" i="3"/>
  <c r="C51" i="3"/>
  <c r="AT51" i="3"/>
  <c r="U51" i="3"/>
  <c r="BC51" i="3"/>
  <c r="U32" i="3"/>
  <c r="BC32" i="3"/>
  <c r="C32" i="3"/>
  <c r="AT32" i="3"/>
  <c r="BC112" i="3"/>
  <c r="C112" i="3"/>
  <c r="AT112" i="3"/>
  <c r="U112" i="3"/>
  <c r="BC29" i="3"/>
  <c r="U29" i="3"/>
  <c r="AT29" i="3"/>
  <c r="C29" i="3"/>
  <c r="BC77" i="3"/>
  <c r="C77" i="3"/>
  <c r="U77" i="3"/>
  <c r="AT77" i="3"/>
  <c r="B12" i="12" l="1"/>
  <c r="A12" i="12" s="1"/>
  <c r="S3" i="13"/>
  <c r="U80" i="3"/>
  <c r="B20" i="12"/>
  <c r="A20" i="12" s="1"/>
  <c r="B16" i="12"/>
  <c r="BE131" i="3" s="1"/>
  <c r="BG131" i="3" s="1"/>
  <c r="BF131" i="3" s="1"/>
  <c r="AA5" i="13"/>
  <c r="AA3" i="13"/>
  <c r="B14" i="12"/>
  <c r="A14" i="12" s="1"/>
  <c r="S5" i="13"/>
  <c r="B15" i="12"/>
  <c r="A15" i="12" s="1"/>
  <c r="B11" i="12"/>
  <c r="BE126" i="3" s="1"/>
  <c r="BG126" i="3" s="1"/>
  <c r="BF126" i="3" s="1"/>
  <c r="B13" i="12"/>
  <c r="A13" i="12" s="1"/>
  <c r="B21" i="12"/>
  <c r="BH124" i="3" s="1"/>
  <c r="BJ124" i="3" s="1"/>
  <c r="BI124" i="3" s="1"/>
  <c r="B17" i="12"/>
  <c r="BH120" i="3" s="1"/>
  <c r="BJ120" i="3" s="1"/>
  <c r="BI120" i="3" s="1"/>
  <c r="K32" i="13"/>
  <c r="C32" i="13"/>
  <c r="BC80" i="3"/>
  <c r="B18" i="12"/>
  <c r="BH121" i="3" s="1"/>
  <c r="BJ121" i="3" s="1"/>
  <c r="BI121" i="3" s="1"/>
  <c r="C34" i="13"/>
  <c r="B19" i="12"/>
  <c r="BH122" i="3" s="1"/>
  <c r="BJ122" i="3" s="1"/>
  <c r="BI122" i="3" s="1"/>
  <c r="B22" i="12"/>
  <c r="A22" i="12" s="1"/>
  <c r="K34" i="13"/>
  <c r="C80" i="3"/>
  <c r="AT80" i="3"/>
  <c r="BC85" i="3"/>
  <c r="AT85" i="3"/>
  <c r="C85" i="3"/>
  <c r="U85" i="3"/>
  <c r="S21" i="13"/>
  <c r="Q20" i="13"/>
  <c r="AB20" i="13"/>
  <c r="S20" i="13"/>
  <c r="AD20" i="13"/>
  <c r="AG46" i="13"/>
  <c r="AG40" i="13"/>
  <c r="B23" i="12"/>
  <c r="S34" i="13"/>
  <c r="AG52" i="13"/>
  <c r="AG43" i="13"/>
  <c r="AA32" i="13"/>
  <c r="S36" i="13"/>
  <c r="AA34" i="13"/>
  <c r="K50" i="10"/>
  <c r="L50" i="10" s="1"/>
  <c r="AG55" i="13"/>
  <c r="B25" i="12"/>
  <c r="B26" i="12"/>
  <c r="B27" i="12"/>
  <c r="B28" i="12"/>
  <c r="AG49" i="13"/>
  <c r="S32" i="13"/>
  <c r="B24" i="12"/>
  <c r="C3" i="13"/>
  <c r="C7" i="13"/>
  <c r="M14" i="4"/>
  <c r="K3" i="13"/>
  <c r="C5" i="13"/>
  <c r="B6" i="12"/>
  <c r="K15" i="10"/>
  <c r="L15" i="10" s="1"/>
  <c r="B5" i="12"/>
  <c r="B7" i="12"/>
  <c r="K5" i="13"/>
  <c r="B8" i="12"/>
  <c r="B9" i="12"/>
  <c r="B10" i="12"/>
  <c r="BE127" i="3"/>
  <c r="BG127" i="3" s="1"/>
  <c r="BF127" i="3" s="1"/>
  <c r="AD23" i="13"/>
  <c r="S23" i="13"/>
  <c r="Q23" i="13"/>
  <c r="S24" i="13"/>
  <c r="AB23" i="13"/>
  <c r="AB14" i="13"/>
  <c r="Q14" i="13"/>
  <c r="AD14" i="13"/>
  <c r="S15" i="13"/>
  <c r="S14" i="13"/>
  <c r="C41" i="13"/>
  <c r="L40" i="13"/>
  <c r="C40" i="13"/>
  <c r="N40" i="13"/>
  <c r="A40" i="13"/>
  <c r="E14" i="4"/>
  <c r="Q33" i="10"/>
  <c r="C50" i="13"/>
  <c r="A49" i="13"/>
  <c r="N49" i="13"/>
  <c r="L49" i="13"/>
  <c r="C49" i="13"/>
  <c r="AD11" i="13"/>
  <c r="S12" i="13"/>
  <c r="AB11" i="13"/>
  <c r="Q11" i="13"/>
  <c r="S11" i="13"/>
  <c r="S17" i="13"/>
  <c r="AB17" i="13"/>
  <c r="AD17" i="13"/>
  <c r="S18" i="13"/>
  <c r="Q17" i="13"/>
  <c r="S27" i="13"/>
  <c r="AB26" i="13"/>
  <c r="AD26" i="13"/>
  <c r="S26" i="13"/>
  <c r="Q26" i="13"/>
  <c r="C56" i="13"/>
  <c r="C55" i="13"/>
  <c r="L55" i="13"/>
  <c r="A55" i="13"/>
  <c r="N55" i="13"/>
  <c r="L52" i="13"/>
  <c r="A52" i="13"/>
  <c r="C52" i="13"/>
  <c r="N52" i="13"/>
  <c r="C53" i="13"/>
  <c r="A46" i="13"/>
  <c r="C47" i="13"/>
  <c r="L46" i="13"/>
  <c r="C46" i="13"/>
  <c r="N46" i="13"/>
  <c r="C44" i="13"/>
  <c r="A43" i="13"/>
  <c r="N43" i="13"/>
  <c r="L43" i="13"/>
  <c r="C43" i="13"/>
  <c r="BE6" i="3"/>
  <c r="BG6" i="3" s="1"/>
  <c r="D6" i="3"/>
  <c r="AO7" i="3" s="1"/>
  <c r="BH6" i="3"/>
  <c r="BI6" i="3" s="1"/>
  <c r="A6" i="3"/>
  <c r="B6" i="3"/>
  <c r="BH123" i="3" l="1"/>
  <c r="BJ123" i="3" s="1"/>
  <c r="BI123" i="3" s="1"/>
  <c r="BE130" i="3"/>
  <c r="BG130" i="3" s="1"/>
  <c r="BF130" i="3" s="1"/>
  <c r="A17" i="12"/>
  <c r="A21" i="12"/>
  <c r="A16" i="12"/>
  <c r="A19" i="12"/>
  <c r="BE128" i="3"/>
  <c r="BG128" i="3" s="1"/>
  <c r="BF128" i="3" s="1"/>
  <c r="BE129" i="3"/>
  <c r="BG129" i="3" s="1"/>
  <c r="BF129" i="3" s="1"/>
  <c r="A11" i="12"/>
  <c r="BH125" i="3"/>
  <c r="BJ125" i="3" s="1"/>
  <c r="BI125" i="3" s="1"/>
  <c r="A18" i="12"/>
  <c r="AT1" i="3"/>
  <c r="AT2" i="3" s="1"/>
  <c r="A10" i="12"/>
  <c r="BE125" i="3"/>
  <c r="BG125" i="3" s="1"/>
  <c r="BF125" i="3" s="1"/>
  <c r="BE120" i="3"/>
  <c r="A5" i="12"/>
  <c r="A6" i="12" s="1"/>
  <c r="A28" i="12"/>
  <c r="BH131" i="3"/>
  <c r="BJ131" i="3" s="1"/>
  <c r="BI131" i="3" s="1"/>
  <c r="Q55" i="13"/>
  <c r="S55" i="13"/>
  <c r="AB55" i="13"/>
  <c r="AD55" i="13"/>
  <c r="S56" i="13"/>
  <c r="A23" i="12"/>
  <c r="BH126" i="3"/>
  <c r="BJ126" i="3" s="1"/>
  <c r="BI126" i="3" s="1"/>
  <c r="BE123" i="3"/>
  <c r="A24" i="12"/>
  <c r="BH127" i="3"/>
  <c r="BJ127" i="3" s="1"/>
  <c r="BI127" i="3" s="1"/>
  <c r="A27" i="12"/>
  <c r="BH130" i="3"/>
  <c r="BJ130" i="3" s="1"/>
  <c r="BI130" i="3" s="1"/>
  <c r="AB43" i="13"/>
  <c r="AD43" i="13"/>
  <c r="S44" i="13"/>
  <c r="Q43" i="13"/>
  <c r="S43" i="13"/>
  <c r="S40" i="13"/>
  <c r="Q40" i="13"/>
  <c r="S41" i="13"/>
  <c r="AB40" i="13"/>
  <c r="AD40" i="13"/>
  <c r="H47" i="10"/>
  <c r="H44" i="10"/>
  <c r="J45" i="10"/>
  <c r="J44" i="10"/>
  <c r="H46" i="10"/>
  <c r="H48" i="10"/>
  <c r="H49" i="10"/>
  <c r="H45" i="10"/>
  <c r="J47" i="10"/>
  <c r="J49" i="10"/>
  <c r="J46" i="10"/>
  <c r="J48" i="10"/>
  <c r="A9" i="12"/>
  <c r="BE124" i="3"/>
  <c r="BG124" i="3" s="1"/>
  <c r="BF124" i="3" s="1"/>
  <c r="O14" i="4"/>
  <c r="Q4" i="10"/>
  <c r="C14" i="4"/>
  <c r="BH129" i="3"/>
  <c r="BJ129" i="3" s="1"/>
  <c r="BI129" i="3" s="1"/>
  <c r="A26" i="12"/>
  <c r="AB52" i="13"/>
  <c r="S52" i="13"/>
  <c r="Q52" i="13"/>
  <c r="S53" i="13"/>
  <c r="AD52" i="13"/>
  <c r="S47" i="13"/>
  <c r="S46" i="13"/>
  <c r="Q46" i="13"/>
  <c r="AB46" i="13"/>
  <c r="AD46" i="13"/>
  <c r="BE122" i="3"/>
  <c r="BE121" i="3"/>
  <c r="AB49" i="13"/>
  <c r="S49" i="13"/>
  <c r="AD49" i="13"/>
  <c r="S50" i="13"/>
  <c r="Q49" i="13"/>
  <c r="BH128" i="3"/>
  <c r="BJ128" i="3" s="1"/>
  <c r="BI128" i="3" s="1"/>
  <c r="A25" i="12"/>
  <c r="J22" i="10"/>
  <c r="H23" i="10"/>
  <c r="J25" i="10"/>
  <c r="H22" i="10"/>
  <c r="J26" i="10"/>
  <c r="J23" i="10"/>
  <c r="H21" i="10"/>
  <c r="H24" i="10"/>
  <c r="H25" i="10"/>
  <c r="J24" i="10"/>
  <c r="J21" i="10"/>
  <c r="H26" i="10"/>
  <c r="BF6" i="3"/>
  <c r="BJ6" i="3"/>
  <c r="E6" i="3"/>
  <c r="V7" i="3"/>
  <c r="A7" i="12" l="1"/>
  <c r="A8" i="12" s="1"/>
  <c r="G14" i="4"/>
  <c r="I14" i="4"/>
  <c r="J54" i="10"/>
  <c r="J53" i="10"/>
  <c r="H53" i="10"/>
  <c r="J55" i="10"/>
  <c r="J50" i="10"/>
  <c r="H54" i="10"/>
  <c r="J51" i="10"/>
  <c r="J52" i="10"/>
  <c r="H55" i="10"/>
  <c r="H51" i="10"/>
  <c r="H50" i="10"/>
  <c r="H52" i="10"/>
  <c r="AF14" i="13"/>
  <c r="AF17" i="13"/>
  <c r="AF11" i="13"/>
  <c r="A7" i="3"/>
  <c r="D7" i="3"/>
  <c r="C7" i="3"/>
  <c r="B7" i="3"/>
  <c r="BH7" i="3"/>
  <c r="BJ7" i="3" s="1"/>
  <c r="BI7" i="3" s="1"/>
  <c r="BE7" i="3"/>
  <c r="J16" i="10" l="1"/>
  <c r="H18" i="10"/>
  <c r="AF26" i="13"/>
  <c r="C27" i="13" s="1"/>
  <c r="J19" i="10"/>
  <c r="AF23" i="13"/>
  <c r="L23" i="13" s="1"/>
  <c r="AF20" i="13"/>
  <c r="A20" i="13" s="1"/>
  <c r="H17" i="10"/>
  <c r="J18" i="10"/>
  <c r="J20" i="10"/>
  <c r="H16" i="10"/>
  <c r="H20" i="10"/>
  <c r="H19" i="10"/>
  <c r="J15" i="10"/>
  <c r="J17" i="10"/>
  <c r="H15" i="10"/>
  <c r="A17" i="13"/>
  <c r="C18" i="13"/>
  <c r="C17" i="13"/>
  <c r="L17" i="13"/>
  <c r="N17" i="13"/>
  <c r="N11" i="13"/>
  <c r="A11" i="13"/>
  <c r="L11" i="13"/>
  <c r="C12" i="13"/>
  <c r="C11" i="13"/>
  <c r="C15" i="13"/>
  <c r="A14" i="13"/>
  <c r="L14" i="13"/>
  <c r="C14" i="13"/>
  <c r="N14" i="13"/>
  <c r="BG7" i="3"/>
  <c r="BF7" i="3" s="1"/>
  <c r="AO8" i="3"/>
  <c r="E7" i="3"/>
  <c r="AU8" i="3"/>
  <c r="A26" i="13" l="1"/>
  <c r="A23" i="13"/>
  <c r="C24" i="13"/>
  <c r="L20" i="13"/>
  <c r="N23" i="13"/>
  <c r="L26" i="13"/>
  <c r="C23" i="13"/>
  <c r="N26" i="13"/>
  <c r="C26" i="13"/>
  <c r="C21" i="13"/>
  <c r="N20" i="13"/>
  <c r="C20" i="13"/>
  <c r="V8" i="3"/>
  <c r="BH8" i="3" l="1"/>
  <c r="BJ8" i="3" s="1"/>
  <c r="BI8" i="3" s="1"/>
  <c r="C8" i="3"/>
  <c r="B8" i="3"/>
  <c r="A8" i="3"/>
  <c r="D8" i="3"/>
  <c r="BE8" i="3"/>
  <c r="E8" i="3" l="1"/>
  <c r="AU9" i="3"/>
  <c r="BG8" i="3"/>
  <c r="BF8" i="3" s="1"/>
  <c r="AO9" i="3"/>
  <c r="V9" i="3" l="1"/>
  <c r="A9" i="3" s="1"/>
  <c r="B9" i="3" l="1"/>
  <c r="BH9" i="3"/>
  <c r="BJ9" i="3" s="1"/>
  <c r="BI9" i="3" s="1"/>
  <c r="BE9" i="3"/>
  <c r="BG9" i="3" s="1"/>
  <c r="BF9" i="3" s="1"/>
  <c r="D9" i="3"/>
  <c r="AO10" i="3" s="1"/>
  <c r="AU10" i="3"/>
  <c r="E9" i="3" l="1"/>
  <c r="V10" i="3"/>
  <c r="B10" i="3" l="1"/>
  <c r="A10" i="3"/>
  <c r="D10" i="3"/>
  <c r="BE10" i="3"/>
  <c r="BH10" i="3"/>
  <c r="BJ10" i="3" s="1"/>
  <c r="BI10" i="3" s="1"/>
  <c r="BG10" i="3" l="1"/>
  <c r="BF10" i="3" s="1"/>
  <c r="AO11" i="3"/>
  <c r="E10" i="3"/>
  <c r="AU11" i="3"/>
  <c r="V11" i="3" l="1"/>
  <c r="B11" i="3" l="1"/>
  <c r="BE11" i="3"/>
  <c r="A11" i="3"/>
  <c r="D11" i="3"/>
  <c r="BH11" i="3"/>
  <c r="BJ11" i="3" s="1"/>
  <c r="BI11" i="3" s="1"/>
  <c r="AO12" i="3" l="1"/>
  <c r="BG11" i="3"/>
  <c r="BF11" i="3" s="1"/>
  <c r="E11" i="3"/>
  <c r="AU12" i="3"/>
  <c r="V12" i="3" l="1"/>
  <c r="A12" i="3" l="1"/>
  <c r="BE12" i="3"/>
  <c r="BH12" i="3"/>
  <c r="BJ12" i="3" s="1"/>
  <c r="BI12" i="3" s="1"/>
  <c r="B12" i="3"/>
  <c r="D12" i="3"/>
  <c r="E12" i="3" l="1"/>
  <c r="AU13" i="3"/>
  <c r="BG12" i="3"/>
  <c r="BF12" i="3" s="1"/>
  <c r="AO13" i="3"/>
  <c r="V13" i="3" l="1"/>
  <c r="B13" i="3" l="1"/>
  <c r="BE13" i="3"/>
  <c r="BH13" i="3"/>
  <c r="BJ13" i="3" s="1"/>
  <c r="BI13" i="3" s="1"/>
  <c r="D13" i="3"/>
  <c r="A13" i="3"/>
  <c r="AO14" i="3" l="1"/>
  <c r="BG13" i="3"/>
  <c r="BF13" i="3" s="1"/>
  <c r="E13" i="3"/>
  <c r="AU14" i="3"/>
  <c r="V14" i="3" l="1"/>
  <c r="BH14" i="3" l="1"/>
  <c r="BJ14" i="3" s="1"/>
  <c r="BI14" i="3" s="1"/>
  <c r="D14" i="3"/>
  <c r="AO15" i="3" s="1"/>
  <c r="A14" i="3"/>
  <c r="B14" i="3"/>
  <c r="BE14" i="3"/>
  <c r="BG14" i="3" s="1"/>
  <c r="BF14" i="3" s="1"/>
  <c r="E14" i="3" l="1"/>
  <c r="AU15" i="3"/>
  <c r="V15" i="3" s="1"/>
  <c r="A15" i="3" l="1"/>
  <c r="BE15" i="3"/>
  <c r="BG15" i="3" s="1"/>
  <c r="BF15" i="3" s="1"/>
  <c r="BH15" i="3"/>
  <c r="BJ15" i="3" s="1"/>
  <c r="BI15" i="3" s="1"/>
  <c r="D15" i="3"/>
  <c r="AO16" i="3" s="1"/>
  <c r="B15" i="3"/>
  <c r="E15" i="3" l="1"/>
  <c r="AU16" i="3"/>
  <c r="V16" i="3" s="1"/>
  <c r="A16" i="3" l="1"/>
  <c r="B16" i="3"/>
  <c r="D16" i="3"/>
  <c r="AO17" i="3" s="1"/>
  <c r="BH16" i="3"/>
  <c r="BJ16" i="3" s="1"/>
  <c r="BI16" i="3" s="1"/>
  <c r="BE16" i="3"/>
  <c r="BG16" i="3" s="1"/>
  <c r="BF16" i="3" s="1"/>
  <c r="E16" i="3" l="1"/>
  <c r="AU17" i="3"/>
  <c r="V17" i="3" s="1"/>
  <c r="A17" i="3" l="1"/>
  <c r="BH17" i="3"/>
  <c r="BJ17" i="3" s="1"/>
  <c r="BI17" i="3" s="1"/>
  <c r="D17" i="3"/>
  <c r="AO18" i="3" s="1"/>
  <c r="BE17" i="3"/>
  <c r="BG17" i="3" s="1"/>
  <c r="BF17" i="3" s="1"/>
  <c r="B17" i="3"/>
  <c r="E17" i="3" l="1"/>
  <c r="AU18" i="3"/>
  <c r="V18" i="3" s="1"/>
  <c r="BH18" i="3" l="1"/>
  <c r="BJ18" i="3" s="1"/>
  <c r="BI18" i="3" s="1"/>
  <c r="A18" i="3"/>
  <c r="B18" i="3"/>
  <c r="D18" i="3"/>
  <c r="AO19" i="3" s="1"/>
  <c r="BE18" i="3"/>
  <c r="BG18" i="3" s="1"/>
  <c r="BF18" i="3" s="1"/>
  <c r="E18" i="3" l="1"/>
  <c r="AU19" i="3"/>
  <c r="V19" i="3" s="1"/>
  <c r="BE19" i="3" l="1"/>
  <c r="BG19" i="3" s="1"/>
  <c r="BF19" i="3" s="1"/>
  <c r="B19" i="3"/>
  <c r="BH19" i="3"/>
  <c r="BJ19" i="3" s="1"/>
  <c r="BI19" i="3" s="1"/>
  <c r="D19" i="3"/>
  <c r="AO20" i="3" s="1"/>
  <c r="A19" i="3"/>
  <c r="E19" i="3" l="1"/>
  <c r="AU20" i="3"/>
  <c r="V20" i="3" s="1"/>
  <c r="B20" i="3" l="1"/>
  <c r="A20" i="3"/>
  <c r="BE20" i="3"/>
  <c r="BG20" i="3" s="1"/>
  <c r="BF20" i="3" s="1"/>
  <c r="D20" i="3"/>
  <c r="AO21" i="3" s="1"/>
  <c r="BH20" i="3"/>
  <c r="BJ20" i="3" s="1"/>
  <c r="BI20" i="3" s="1"/>
  <c r="E20" i="3" l="1"/>
  <c r="AU21" i="3"/>
  <c r="V21" i="3" s="1"/>
  <c r="D21" i="3" l="1"/>
  <c r="AO22" i="3" s="1"/>
  <c r="BE21" i="3"/>
  <c r="BG21" i="3" s="1"/>
  <c r="BF21" i="3" s="1"/>
  <c r="B21" i="3"/>
  <c r="BH21" i="3"/>
  <c r="BJ21" i="3" s="1"/>
  <c r="BI21" i="3" s="1"/>
  <c r="A21" i="3"/>
  <c r="E21" i="3" l="1"/>
  <c r="AU22" i="3"/>
  <c r="V22" i="3" s="1"/>
  <c r="A22" i="3" l="1"/>
  <c r="B22" i="3"/>
  <c r="BE22" i="3"/>
  <c r="BG22" i="3" s="1"/>
  <c r="BF22" i="3" s="1"/>
  <c r="BH22" i="3"/>
  <c r="BJ22" i="3" s="1"/>
  <c r="BI22" i="3" s="1"/>
  <c r="D22" i="3"/>
  <c r="AO23" i="3" s="1"/>
  <c r="E22" i="3" l="1"/>
  <c r="AU23" i="3"/>
  <c r="V23" i="3" s="1"/>
  <c r="D23" i="3" l="1"/>
  <c r="AO24" i="3" s="1"/>
  <c r="B23" i="3"/>
  <c r="BE23" i="3"/>
  <c r="BG23" i="3" s="1"/>
  <c r="BF23" i="3" s="1"/>
  <c r="BH23" i="3"/>
  <c r="BJ23" i="3" s="1"/>
  <c r="BI23" i="3" s="1"/>
  <c r="A23" i="3"/>
  <c r="E23" i="3" l="1"/>
  <c r="AU24" i="3"/>
  <c r="V24" i="3" s="1"/>
  <c r="BH24" i="3" l="1"/>
  <c r="BJ24" i="3" s="1"/>
  <c r="BI24" i="3" s="1"/>
  <c r="D24" i="3"/>
  <c r="AO25" i="3" s="1"/>
  <c r="B24" i="3"/>
  <c r="BE24" i="3"/>
  <c r="BG24" i="3" s="1"/>
  <c r="BF24" i="3" s="1"/>
  <c r="A24" i="3"/>
  <c r="E24" i="3" l="1"/>
  <c r="AU25" i="3"/>
  <c r="V25" i="3" s="1"/>
  <c r="D25" i="3" l="1"/>
  <c r="AO26" i="3" s="1"/>
  <c r="A25" i="3"/>
  <c r="B25" i="3"/>
  <c r="BE25" i="3"/>
  <c r="BG25" i="3" s="1"/>
  <c r="BF25" i="3" s="1"/>
  <c r="BH25" i="3"/>
  <c r="BJ25" i="3" s="1"/>
  <c r="BI25" i="3" s="1"/>
  <c r="E25" i="3" l="1"/>
  <c r="AU26" i="3"/>
  <c r="V26" i="3" s="1"/>
  <c r="A26" i="3" l="1"/>
  <c r="BH26" i="3"/>
  <c r="BJ26" i="3" s="1"/>
  <c r="BI26" i="3" s="1"/>
  <c r="BE26" i="3"/>
  <c r="BG26" i="3" s="1"/>
  <c r="BF26" i="3" s="1"/>
  <c r="B26" i="3"/>
  <c r="D26" i="3"/>
  <c r="AO27" i="3" s="1"/>
  <c r="E26" i="3" l="1"/>
  <c r="AU27" i="3"/>
  <c r="V27" i="3" s="1"/>
  <c r="D27" i="3" l="1"/>
  <c r="AO28" i="3" s="1"/>
  <c r="B27" i="3"/>
  <c r="BE27" i="3"/>
  <c r="BG27" i="3" s="1"/>
  <c r="BF27" i="3" s="1"/>
  <c r="A27" i="3"/>
  <c r="BH27" i="3"/>
  <c r="BJ27" i="3" s="1"/>
  <c r="BI27" i="3" s="1"/>
  <c r="E27" i="3" l="1"/>
  <c r="AU28" i="3"/>
  <c r="V28" i="3" s="1"/>
  <c r="BH28" i="3" l="1"/>
  <c r="BJ28" i="3" s="1"/>
  <c r="BI28" i="3" s="1"/>
  <c r="BE28" i="3"/>
  <c r="BG28" i="3" s="1"/>
  <c r="BF28" i="3" s="1"/>
  <c r="B28" i="3"/>
  <c r="A28" i="3"/>
  <c r="D28" i="3"/>
  <c r="AO29" i="3" s="1"/>
  <c r="E28" i="3" l="1"/>
  <c r="AU29" i="3"/>
  <c r="V29" i="3" s="1"/>
  <c r="D29" i="3" l="1"/>
  <c r="AO30" i="3" s="1"/>
  <c r="BE29" i="3"/>
  <c r="BG29" i="3" s="1"/>
  <c r="BF29" i="3" s="1"/>
  <c r="B29" i="3"/>
  <c r="A29" i="3"/>
  <c r="BH29" i="3"/>
  <c r="BJ29" i="3" s="1"/>
  <c r="BI29" i="3" s="1"/>
  <c r="E29" i="3" l="1"/>
  <c r="AU30" i="3"/>
  <c r="V30" i="3" s="1"/>
  <c r="B30" i="3" l="1"/>
  <c r="BE30" i="3"/>
  <c r="BG30" i="3" s="1"/>
  <c r="BF30" i="3" s="1"/>
  <c r="BH30" i="3"/>
  <c r="BJ30" i="3" s="1"/>
  <c r="BI30" i="3" s="1"/>
  <c r="D30" i="3"/>
  <c r="AO31" i="3" s="1"/>
  <c r="A30" i="3"/>
  <c r="E30" i="3" l="1"/>
  <c r="AU31" i="3"/>
  <c r="V31" i="3" s="1"/>
  <c r="BH31" i="3" l="1"/>
  <c r="BJ31" i="3" s="1"/>
  <c r="BI31" i="3" s="1"/>
  <c r="D31" i="3"/>
  <c r="AO32" i="3" s="1"/>
  <c r="A31" i="3"/>
  <c r="B31" i="3"/>
  <c r="BE31" i="3"/>
  <c r="BG31" i="3" s="1"/>
  <c r="BF31" i="3" s="1"/>
  <c r="E31" i="3" l="1"/>
  <c r="AU32" i="3"/>
  <c r="V32" i="3" s="1"/>
  <c r="A32" i="3" l="1"/>
  <c r="B32" i="3"/>
  <c r="BH32" i="3"/>
  <c r="BJ32" i="3" s="1"/>
  <c r="BI32" i="3" s="1"/>
  <c r="D32" i="3"/>
  <c r="AO33" i="3" s="1"/>
  <c r="BE32" i="3"/>
  <c r="BG32" i="3" s="1"/>
  <c r="BF32" i="3" s="1"/>
  <c r="E32" i="3" l="1"/>
  <c r="AU33" i="3"/>
  <c r="V33" i="3" s="1"/>
  <c r="D33" i="3" l="1"/>
  <c r="AO34" i="3" s="1"/>
  <c r="BH33" i="3"/>
  <c r="BJ33" i="3" s="1"/>
  <c r="BI33" i="3" s="1"/>
  <c r="BE33" i="3"/>
  <c r="BG33" i="3" s="1"/>
  <c r="BF33" i="3" s="1"/>
  <c r="A33" i="3"/>
  <c r="B33" i="3"/>
  <c r="E33" i="3" l="1"/>
  <c r="AU34" i="3"/>
  <c r="V34" i="3" s="1"/>
  <c r="BH34" i="3" l="1"/>
  <c r="BJ34" i="3" s="1"/>
  <c r="BI34" i="3" s="1"/>
  <c r="BE34" i="3"/>
  <c r="BG34" i="3" s="1"/>
  <c r="BF34" i="3" s="1"/>
  <c r="B34" i="3"/>
  <c r="A34" i="3"/>
  <c r="D34" i="3"/>
  <c r="AO35" i="3" s="1"/>
  <c r="E34" i="3" l="1"/>
  <c r="AU35" i="3"/>
  <c r="V35" i="3" s="1"/>
  <c r="D35" i="3" l="1"/>
  <c r="AO36" i="3" s="1"/>
  <c r="A35" i="3"/>
  <c r="B35" i="3"/>
  <c r="BH35" i="3"/>
  <c r="BJ35" i="3" s="1"/>
  <c r="BI35" i="3" s="1"/>
  <c r="BE35" i="3"/>
  <c r="BG35" i="3" s="1"/>
  <c r="BF35" i="3" s="1"/>
  <c r="E35" i="3" l="1"/>
  <c r="AU36" i="3"/>
  <c r="V36" i="3" s="1"/>
  <c r="D36" i="3" l="1"/>
  <c r="AO37" i="3" s="1"/>
  <c r="BH36" i="3"/>
  <c r="BJ36" i="3" s="1"/>
  <c r="BI36" i="3" s="1"/>
  <c r="BE36" i="3"/>
  <c r="BG36" i="3" s="1"/>
  <c r="BF36" i="3" s="1"/>
  <c r="A36" i="3"/>
  <c r="B36" i="3"/>
  <c r="E36" i="3" l="1"/>
  <c r="AU37" i="3"/>
  <c r="V37" i="3" s="1"/>
  <c r="D37" i="3" l="1"/>
  <c r="AO38" i="3" s="1"/>
  <c r="B37" i="3"/>
  <c r="BH37" i="3"/>
  <c r="BJ37" i="3" s="1"/>
  <c r="BI37" i="3" s="1"/>
  <c r="A37" i="3"/>
  <c r="BE37" i="3"/>
  <c r="BG37" i="3" s="1"/>
  <c r="BF37" i="3" s="1"/>
  <c r="E37" i="3" l="1"/>
  <c r="AU38" i="3"/>
  <c r="V38" i="3" s="1"/>
  <c r="D38" i="3" l="1"/>
  <c r="AO39" i="3" s="1"/>
  <c r="B38" i="3"/>
  <c r="BH38" i="3"/>
  <c r="BJ38" i="3" s="1"/>
  <c r="BI38" i="3" s="1"/>
  <c r="A38" i="3"/>
  <c r="BE38" i="3"/>
  <c r="BG38" i="3" s="1"/>
  <c r="BF38" i="3" s="1"/>
  <c r="E38" i="3" l="1"/>
  <c r="AU39" i="3"/>
  <c r="V39" i="3" s="1"/>
  <c r="D39" i="3" l="1"/>
  <c r="AO40" i="3" s="1"/>
  <c r="BE39" i="3"/>
  <c r="BG39" i="3" s="1"/>
  <c r="BF39" i="3" s="1"/>
  <c r="B39" i="3"/>
  <c r="A39" i="3"/>
  <c r="BH39" i="3"/>
  <c r="BJ39" i="3" s="1"/>
  <c r="BI39" i="3" s="1"/>
  <c r="E39" i="3" l="1"/>
  <c r="AU40" i="3"/>
  <c r="V40" i="3" s="1"/>
  <c r="D40" i="3" l="1"/>
  <c r="AO41" i="3" s="1"/>
  <c r="A40" i="3"/>
  <c r="BE40" i="3"/>
  <c r="BG40" i="3" s="1"/>
  <c r="BF40" i="3" s="1"/>
  <c r="B40" i="3"/>
  <c r="BH40" i="3"/>
  <c r="BJ40" i="3" s="1"/>
  <c r="BI40" i="3" s="1"/>
  <c r="E40" i="3" l="1"/>
  <c r="AU41" i="3"/>
  <c r="V41" i="3" s="1"/>
  <c r="BH41" i="3" l="1"/>
  <c r="BJ41" i="3" s="1"/>
  <c r="BI41" i="3" s="1"/>
  <c r="B41" i="3"/>
  <c r="D41" i="3"/>
  <c r="AO42" i="3" s="1"/>
  <c r="A41" i="3"/>
  <c r="BE41" i="3"/>
  <c r="BG41" i="3" s="1"/>
  <c r="BF41" i="3" s="1"/>
  <c r="E41" i="3" l="1"/>
  <c r="AU42" i="3"/>
  <c r="V42" i="3" s="1"/>
  <c r="BH42" i="3" l="1"/>
  <c r="BJ42" i="3" s="1"/>
  <c r="BI42" i="3" s="1"/>
  <c r="B42" i="3"/>
  <c r="A42" i="3"/>
  <c r="D42" i="3"/>
  <c r="AO43" i="3" s="1"/>
  <c r="BE42" i="3"/>
  <c r="BG42" i="3" s="1"/>
  <c r="BF42" i="3" s="1"/>
  <c r="E42" i="3" l="1"/>
  <c r="AU43" i="3"/>
  <c r="V43" i="3" s="1"/>
  <c r="A43" i="3" l="1"/>
  <c r="D43" i="3"/>
  <c r="AO44" i="3" s="1"/>
  <c r="B43" i="3"/>
  <c r="BE43" i="3"/>
  <c r="BG43" i="3" s="1"/>
  <c r="BF43" i="3" s="1"/>
  <c r="BH43" i="3"/>
  <c r="BJ43" i="3" s="1"/>
  <c r="BI43" i="3" s="1"/>
  <c r="E43" i="3" l="1"/>
  <c r="AU44" i="3"/>
  <c r="V44" i="3" s="1"/>
  <c r="BH44" i="3" l="1"/>
  <c r="BJ44" i="3" s="1"/>
  <c r="BI44" i="3" s="1"/>
  <c r="BE44" i="3"/>
  <c r="BG44" i="3" s="1"/>
  <c r="BF44" i="3" s="1"/>
  <c r="B44" i="3"/>
  <c r="A44" i="3"/>
  <c r="D44" i="3"/>
  <c r="AO45" i="3" s="1"/>
  <c r="E44" i="3" l="1"/>
  <c r="AU45" i="3"/>
  <c r="V45" i="3" s="1"/>
  <c r="A45" i="3" l="1"/>
  <c r="BH45" i="3"/>
  <c r="BJ45" i="3" s="1"/>
  <c r="BI45" i="3" s="1"/>
  <c r="D45" i="3"/>
  <c r="AO46" i="3" s="1"/>
  <c r="B45" i="3"/>
  <c r="BE45" i="3"/>
  <c r="BG45" i="3" s="1"/>
  <c r="BF45" i="3" s="1"/>
  <c r="E45" i="3" l="1"/>
  <c r="AU46" i="3"/>
  <c r="V46" i="3" s="1"/>
  <c r="B46" i="3" l="1"/>
  <c r="A46" i="3"/>
  <c r="D46" i="3"/>
  <c r="AO47" i="3" s="1"/>
  <c r="BE46" i="3"/>
  <c r="BG46" i="3" s="1"/>
  <c r="BF46" i="3" s="1"/>
  <c r="BH46" i="3"/>
  <c r="BJ46" i="3" s="1"/>
  <c r="BI46" i="3" s="1"/>
  <c r="E46" i="3" l="1"/>
  <c r="AU47" i="3"/>
  <c r="V47" i="3" s="1"/>
  <c r="BE47" i="3" l="1"/>
  <c r="BG47" i="3" s="1"/>
  <c r="BF47" i="3" s="1"/>
  <c r="D47" i="3"/>
  <c r="AO48" i="3" s="1"/>
  <c r="BH47" i="3"/>
  <c r="BJ47" i="3" s="1"/>
  <c r="BI47" i="3" s="1"/>
  <c r="B47" i="3"/>
  <c r="A47" i="3"/>
  <c r="E47" i="3" l="1"/>
  <c r="AU48" i="3"/>
  <c r="V48" i="3" s="1"/>
  <c r="A48" i="3" l="1"/>
  <c r="BE48" i="3"/>
  <c r="BG48" i="3" s="1"/>
  <c r="BF48" i="3" s="1"/>
  <c r="B48" i="3"/>
  <c r="D48" i="3"/>
  <c r="AO49" i="3" s="1"/>
  <c r="BH48" i="3"/>
  <c r="BJ48" i="3" s="1"/>
  <c r="BI48" i="3" s="1"/>
  <c r="E48" i="3" l="1"/>
  <c r="AU49" i="3"/>
  <c r="V49" i="3" s="1"/>
  <c r="D49" i="3" l="1"/>
  <c r="AO50" i="3" s="1"/>
  <c r="A49" i="3"/>
  <c r="BH49" i="3"/>
  <c r="BJ49" i="3" s="1"/>
  <c r="BI49" i="3" s="1"/>
  <c r="BE49" i="3"/>
  <c r="BG49" i="3" s="1"/>
  <c r="BF49" i="3" s="1"/>
  <c r="B49" i="3"/>
  <c r="E49" i="3" l="1"/>
  <c r="AU50" i="3"/>
  <c r="V50" i="3" s="1"/>
  <c r="B50" i="3" l="1"/>
  <c r="A50" i="3"/>
  <c r="D50" i="3"/>
  <c r="AO51" i="3" s="1"/>
  <c r="BH50" i="3"/>
  <c r="BJ50" i="3" s="1"/>
  <c r="BI50" i="3" s="1"/>
  <c r="BE50" i="3"/>
  <c r="BG50" i="3" s="1"/>
  <c r="BF50" i="3" s="1"/>
  <c r="E50" i="3" l="1"/>
  <c r="AU51" i="3"/>
  <c r="V51" i="3" s="1"/>
  <c r="A51" i="3" l="1"/>
  <c r="B51" i="3"/>
  <c r="BH51" i="3"/>
  <c r="BJ51" i="3" s="1"/>
  <c r="BI51" i="3" s="1"/>
  <c r="BE51" i="3"/>
  <c r="BG51" i="3" s="1"/>
  <c r="BF51" i="3" s="1"/>
  <c r="D51" i="3"/>
  <c r="AO52" i="3" s="1"/>
  <c r="E51" i="3" l="1"/>
  <c r="AU52" i="3"/>
  <c r="V52" i="3" s="1"/>
  <c r="B52" i="3" l="1"/>
  <c r="BH52" i="3"/>
  <c r="BJ52" i="3" s="1"/>
  <c r="BI52" i="3" s="1"/>
  <c r="BE52" i="3"/>
  <c r="BG52" i="3" s="1"/>
  <c r="BF52" i="3" s="1"/>
  <c r="A52" i="3"/>
  <c r="D52" i="3"/>
  <c r="AO53" i="3" s="1"/>
  <c r="E52" i="3" l="1"/>
  <c r="AU53" i="3"/>
  <c r="V53" i="3" s="1"/>
  <c r="BH53" i="3" l="1"/>
  <c r="BJ53" i="3" s="1"/>
  <c r="BI53" i="3" s="1"/>
  <c r="BE53" i="3"/>
  <c r="BG53" i="3" s="1"/>
  <c r="BF53" i="3" s="1"/>
  <c r="B53" i="3"/>
  <c r="D53" i="3"/>
  <c r="AO54" i="3" s="1"/>
  <c r="A53" i="3"/>
  <c r="E53" i="3" l="1"/>
  <c r="AU54" i="3"/>
  <c r="V54" i="3" s="1"/>
  <c r="D54" i="3" l="1"/>
  <c r="AO55" i="3" s="1"/>
  <c r="BH54" i="3"/>
  <c r="BJ54" i="3" s="1"/>
  <c r="BI54" i="3" s="1"/>
  <c r="BE54" i="3"/>
  <c r="BG54" i="3" s="1"/>
  <c r="BF54" i="3" s="1"/>
  <c r="A54" i="3"/>
  <c r="B54" i="3"/>
  <c r="E54" i="3" l="1"/>
  <c r="AU55" i="3"/>
  <c r="V55" i="3" s="1"/>
  <c r="A55" i="3" l="1"/>
  <c r="BE55" i="3"/>
  <c r="BG55" i="3" s="1"/>
  <c r="BF55" i="3" s="1"/>
  <c r="D55" i="3"/>
  <c r="AO56" i="3" s="1"/>
  <c r="B55" i="3"/>
  <c r="BH55" i="3"/>
  <c r="BJ55" i="3" s="1"/>
  <c r="BI55" i="3" s="1"/>
  <c r="E55" i="3" l="1"/>
  <c r="AU56" i="3"/>
  <c r="V56" i="3" s="1"/>
  <c r="BH56" i="3" l="1"/>
  <c r="BJ56" i="3" s="1"/>
  <c r="BI56" i="3" s="1"/>
  <c r="B56" i="3"/>
  <c r="D56" i="3"/>
  <c r="AO57" i="3" s="1"/>
  <c r="BE56" i="3"/>
  <c r="BG56" i="3" s="1"/>
  <c r="BF56" i="3" s="1"/>
  <c r="A56" i="3"/>
  <c r="E56" i="3" l="1"/>
  <c r="AU57" i="3"/>
  <c r="V57" i="3" s="1"/>
  <c r="BE57" i="3" l="1"/>
  <c r="BG57" i="3" s="1"/>
  <c r="BF57" i="3" s="1"/>
  <c r="A57" i="3"/>
  <c r="B57" i="3"/>
  <c r="D57" i="3"/>
  <c r="AO58" i="3" s="1"/>
  <c r="BH57" i="3"/>
  <c r="BJ57" i="3" s="1"/>
  <c r="BI57" i="3" s="1"/>
  <c r="E57" i="3" l="1"/>
  <c r="AU58" i="3"/>
  <c r="V58" i="3" s="1"/>
  <c r="D58" i="3" l="1"/>
  <c r="AO59" i="3" s="1"/>
  <c r="BE58" i="3"/>
  <c r="BG58" i="3" s="1"/>
  <c r="BF58" i="3" s="1"/>
  <c r="BH58" i="3"/>
  <c r="BJ58" i="3" s="1"/>
  <c r="BI58" i="3" s="1"/>
  <c r="A58" i="3"/>
  <c r="B58" i="3"/>
  <c r="E58" i="3" l="1"/>
  <c r="AU59" i="3"/>
  <c r="V59" i="3" s="1"/>
  <c r="B59" i="3" l="1"/>
  <c r="BH59" i="3"/>
  <c r="BJ59" i="3" s="1"/>
  <c r="BI59" i="3" s="1"/>
  <c r="A59" i="3"/>
  <c r="D59" i="3"/>
  <c r="AO60" i="3" s="1"/>
  <c r="BE59" i="3"/>
  <c r="BG59" i="3" s="1"/>
  <c r="BF59" i="3" s="1"/>
  <c r="E59" i="3" l="1"/>
  <c r="AU60" i="3"/>
  <c r="V60" i="3" s="1"/>
  <c r="BE60" i="3" l="1"/>
  <c r="BG60" i="3" s="1"/>
  <c r="BF60" i="3" s="1"/>
  <c r="B60" i="3"/>
  <c r="BH60" i="3"/>
  <c r="BJ60" i="3" s="1"/>
  <c r="BI60" i="3" s="1"/>
  <c r="A60" i="3"/>
  <c r="D60" i="3"/>
  <c r="AO61" i="3" s="1"/>
  <c r="E60" i="3" l="1"/>
  <c r="AU61" i="3"/>
  <c r="V61" i="3" s="1"/>
  <c r="BE61" i="3" l="1"/>
  <c r="BG61" i="3" s="1"/>
  <c r="BF61" i="3" s="1"/>
  <c r="B61" i="3"/>
  <c r="D61" i="3"/>
  <c r="AO62" i="3" s="1"/>
  <c r="A61" i="3"/>
  <c r="BH61" i="3"/>
  <c r="BJ61" i="3" s="1"/>
  <c r="BI61" i="3" s="1"/>
  <c r="E61" i="3" l="1"/>
  <c r="AU62" i="3"/>
  <c r="V62" i="3" s="1"/>
  <c r="A62" i="3" l="1"/>
  <c r="BE62" i="3"/>
  <c r="BG62" i="3" s="1"/>
  <c r="BF62" i="3" s="1"/>
  <c r="BH62" i="3"/>
  <c r="BJ62" i="3" s="1"/>
  <c r="BI62" i="3" s="1"/>
  <c r="B62" i="3"/>
  <c r="D62" i="3"/>
  <c r="AO63" i="3" s="1"/>
  <c r="E62" i="3" l="1"/>
  <c r="AU63" i="3"/>
  <c r="V63" i="3" s="1"/>
  <c r="B63" i="3" l="1"/>
  <c r="BE63" i="3"/>
  <c r="BG63" i="3" s="1"/>
  <c r="BF63" i="3" s="1"/>
  <c r="A63" i="3"/>
  <c r="BH63" i="3"/>
  <c r="BJ63" i="3" s="1"/>
  <c r="BI63" i="3" s="1"/>
  <c r="D63" i="3"/>
  <c r="AO64" i="3" s="1"/>
  <c r="E63" i="3" l="1"/>
  <c r="AU64" i="3"/>
  <c r="V64" i="3" s="1"/>
  <c r="B64" i="3" l="1"/>
  <c r="A64" i="3"/>
  <c r="BH64" i="3"/>
  <c r="BJ64" i="3" s="1"/>
  <c r="BI64" i="3" s="1"/>
  <c r="BE64" i="3"/>
  <c r="BG64" i="3" s="1"/>
  <c r="BF64" i="3" s="1"/>
  <c r="D64" i="3"/>
  <c r="AO65" i="3" s="1"/>
  <c r="E64" i="3" l="1"/>
  <c r="AU65" i="3"/>
  <c r="V65" i="3" s="1"/>
  <c r="D65" i="3" l="1"/>
  <c r="AO66" i="3" s="1"/>
  <c r="BE65" i="3"/>
  <c r="BG65" i="3" s="1"/>
  <c r="BF65" i="3" s="1"/>
  <c r="B65" i="3"/>
  <c r="BH65" i="3"/>
  <c r="BJ65" i="3" s="1"/>
  <c r="BI65" i="3" s="1"/>
  <c r="A65" i="3"/>
  <c r="E65" i="3" l="1"/>
  <c r="AU66" i="3"/>
  <c r="V66" i="3" s="1"/>
  <c r="A66" i="3" l="1"/>
  <c r="D66" i="3"/>
  <c r="AO67" i="3" s="1"/>
  <c r="B66" i="3"/>
  <c r="BH66" i="3"/>
  <c r="BJ66" i="3" s="1"/>
  <c r="BI66" i="3" s="1"/>
  <c r="BE66" i="3"/>
  <c r="BG66" i="3" s="1"/>
  <c r="BF66" i="3" s="1"/>
  <c r="E66" i="3" l="1"/>
  <c r="AU67" i="3"/>
  <c r="V67" i="3" s="1"/>
  <c r="D67" i="3" l="1"/>
  <c r="AO68" i="3" s="1"/>
  <c r="A67" i="3"/>
  <c r="B67" i="3"/>
  <c r="BH67" i="3"/>
  <c r="BJ67" i="3" s="1"/>
  <c r="BI67" i="3" s="1"/>
  <c r="BE67" i="3"/>
  <c r="BG67" i="3" s="1"/>
  <c r="BF67" i="3" s="1"/>
  <c r="E67" i="3" l="1"/>
  <c r="AU68" i="3"/>
  <c r="V68" i="3" s="1"/>
  <c r="B68" i="3" l="1"/>
  <c r="A68" i="3"/>
  <c r="BH68" i="3"/>
  <c r="BJ68" i="3" s="1"/>
  <c r="BI68" i="3" s="1"/>
  <c r="BE68" i="3"/>
  <c r="BG68" i="3" s="1"/>
  <c r="BF68" i="3" s="1"/>
  <c r="D68" i="3"/>
  <c r="AO69" i="3" s="1"/>
  <c r="E68" i="3" l="1"/>
  <c r="AU69" i="3"/>
  <c r="V69" i="3" s="1"/>
  <c r="D69" i="3" l="1"/>
  <c r="AO70" i="3" s="1"/>
  <c r="BE69" i="3"/>
  <c r="BG69" i="3" s="1"/>
  <c r="BF69" i="3" s="1"/>
  <c r="B69" i="3"/>
  <c r="BH69" i="3"/>
  <c r="BJ69" i="3" s="1"/>
  <c r="BI69" i="3" s="1"/>
  <c r="A69" i="3"/>
  <c r="E69" i="3" l="1"/>
  <c r="AU70" i="3"/>
  <c r="V70" i="3" s="1"/>
  <c r="D70" i="3" l="1"/>
  <c r="AO71" i="3" s="1"/>
  <c r="BH70" i="3"/>
  <c r="BJ70" i="3" s="1"/>
  <c r="BI70" i="3" s="1"/>
  <c r="B70" i="3"/>
  <c r="BE70" i="3"/>
  <c r="BG70" i="3" s="1"/>
  <c r="BF70" i="3" s="1"/>
  <c r="A70" i="3"/>
  <c r="E70" i="3" l="1"/>
  <c r="AU71" i="3"/>
  <c r="V71" i="3" s="1"/>
  <c r="A71" i="3" l="1"/>
  <c r="B71" i="3"/>
  <c r="D71" i="3"/>
  <c r="AO72" i="3" s="1"/>
  <c r="BE71" i="3"/>
  <c r="BG71" i="3" s="1"/>
  <c r="BF71" i="3" s="1"/>
  <c r="BH71" i="3"/>
  <c r="BJ71" i="3" s="1"/>
  <c r="BI71" i="3" s="1"/>
  <c r="E71" i="3" l="1"/>
  <c r="AU72" i="3"/>
  <c r="V72" i="3" s="1"/>
  <c r="BE72" i="3" l="1"/>
  <c r="BG72" i="3" s="1"/>
  <c r="BF72" i="3" s="1"/>
  <c r="B72" i="3"/>
  <c r="BH72" i="3"/>
  <c r="BJ72" i="3" s="1"/>
  <c r="BI72" i="3" s="1"/>
  <c r="A72" i="3"/>
  <c r="D72" i="3"/>
  <c r="AO73" i="3" s="1"/>
  <c r="E72" i="3" l="1"/>
  <c r="AU73" i="3"/>
  <c r="V73" i="3" s="1"/>
  <c r="D73" i="3" l="1"/>
  <c r="AO74" i="3" s="1"/>
  <c r="A73" i="3"/>
  <c r="B73" i="3"/>
  <c r="BH73" i="3"/>
  <c r="BJ73" i="3" s="1"/>
  <c r="BI73" i="3" s="1"/>
  <c r="BE73" i="3"/>
  <c r="BG73" i="3" s="1"/>
  <c r="BF73" i="3" s="1"/>
  <c r="E73" i="3" l="1"/>
  <c r="AU74" i="3"/>
  <c r="V74" i="3" s="1"/>
  <c r="D74" i="3" l="1"/>
  <c r="AO75" i="3" s="1"/>
  <c r="A74" i="3"/>
  <c r="BE74" i="3"/>
  <c r="BG74" i="3" s="1"/>
  <c r="BF74" i="3" s="1"/>
  <c r="B74" i="3"/>
  <c r="BH74" i="3"/>
  <c r="BJ74" i="3" s="1"/>
  <c r="BI74" i="3" s="1"/>
  <c r="E74" i="3" l="1"/>
  <c r="AU75" i="3"/>
  <c r="V75" i="3" s="1"/>
  <c r="A75" i="3" l="1"/>
  <c r="BH75" i="3"/>
  <c r="BJ75" i="3" s="1"/>
  <c r="BI75" i="3" s="1"/>
  <c r="BE75" i="3"/>
  <c r="BG75" i="3" s="1"/>
  <c r="BF75" i="3" s="1"/>
  <c r="B75" i="3"/>
  <c r="D75" i="3"/>
  <c r="AO76" i="3" s="1"/>
  <c r="E75" i="3" l="1"/>
  <c r="AU76" i="3"/>
  <c r="V76" i="3" s="1"/>
  <c r="A76" i="3" l="1"/>
  <c r="B76" i="3"/>
  <c r="BH76" i="3"/>
  <c r="BJ76" i="3" s="1"/>
  <c r="BI76" i="3" s="1"/>
  <c r="BE76" i="3"/>
  <c r="BG76" i="3" s="1"/>
  <c r="BF76" i="3" s="1"/>
  <c r="D76" i="3"/>
  <c r="AO77" i="3" s="1"/>
  <c r="E76" i="3" l="1"/>
  <c r="AU77" i="3"/>
  <c r="V77" i="3" s="1"/>
  <c r="BE77" i="3" l="1"/>
  <c r="BG77" i="3" s="1"/>
  <c r="BF77" i="3" s="1"/>
  <c r="B77" i="3"/>
  <c r="A77" i="3"/>
  <c r="BH77" i="3"/>
  <c r="BJ77" i="3" s="1"/>
  <c r="BI77" i="3" s="1"/>
  <c r="D77" i="3"/>
  <c r="AO78" i="3" s="1"/>
  <c r="E77" i="3" l="1"/>
  <c r="AU78" i="3"/>
  <c r="V78" i="3" s="1"/>
  <c r="A78" i="3" l="1"/>
  <c r="BE78" i="3"/>
  <c r="BG78" i="3" s="1"/>
  <c r="BF78" i="3" s="1"/>
  <c r="BH78" i="3"/>
  <c r="BJ78" i="3" s="1"/>
  <c r="BI78" i="3" s="1"/>
  <c r="B78" i="3"/>
  <c r="D78" i="3"/>
  <c r="AO79" i="3" s="1"/>
  <c r="E78" i="3" l="1"/>
  <c r="AU79" i="3"/>
  <c r="V79" i="3" s="1"/>
  <c r="B79" i="3" l="1"/>
  <c r="BE79" i="3"/>
  <c r="BG79" i="3" s="1"/>
  <c r="BF79" i="3" s="1"/>
  <c r="A79" i="3"/>
  <c r="D79" i="3"/>
  <c r="AO80" i="3" s="1"/>
  <c r="BH79" i="3"/>
  <c r="BJ79" i="3" s="1"/>
  <c r="BI79" i="3" s="1"/>
  <c r="E79" i="3" l="1"/>
  <c r="AU80" i="3"/>
  <c r="V80" i="3" s="1"/>
  <c r="D80" i="3" l="1"/>
  <c r="A80" i="3"/>
  <c r="BH80" i="3"/>
  <c r="BJ80" i="3" s="1"/>
  <c r="BE80" i="3"/>
  <c r="B80" i="3"/>
  <c r="BG80" i="3" l="1"/>
  <c r="BF80" i="3" s="1"/>
  <c r="BI80" i="3"/>
  <c r="E80" i="3"/>
  <c r="AU84" i="3"/>
  <c r="AU83" i="3"/>
  <c r="AU85" i="3"/>
  <c r="AU82" i="3"/>
  <c r="AU81" i="3"/>
  <c r="AO84" i="3"/>
  <c r="AO81" i="3"/>
  <c r="AO82" i="3"/>
  <c r="AO83" i="3"/>
  <c r="AO85" i="3"/>
  <c r="V85" i="3" l="1"/>
  <c r="A85" i="3" l="1"/>
  <c r="BH85" i="3"/>
  <c r="BJ85" i="3" s="1"/>
  <c r="BI85" i="3" s="1"/>
  <c r="N109" i="4" s="1"/>
  <c r="BE85" i="3"/>
  <c r="D85" i="3"/>
  <c r="B85" i="3"/>
  <c r="S15" i="10" l="1"/>
  <c r="B15" i="10" s="1"/>
  <c r="W15" i="10"/>
  <c r="V16" i="10" s="1"/>
  <c r="F16" i="10" s="1"/>
  <c r="U15" i="10"/>
  <c r="E15" i="10" s="1"/>
  <c r="V15" i="10"/>
  <c r="F15" i="10" s="1"/>
  <c r="T15" i="10"/>
  <c r="D15" i="10" s="1"/>
  <c r="BG85" i="3"/>
  <c r="BF85" i="3" s="1"/>
  <c r="BG121" i="3"/>
  <c r="BG123" i="3"/>
  <c r="BG122" i="3"/>
  <c r="BG120" i="3"/>
  <c r="BF120" i="3" s="1"/>
  <c r="N37" i="4" s="1"/>
  <c r="AO106" i="3"/>
  <c r="AO107" i="3"/>
  <c r="AO96" i="3"/>
  <c r="AO105" i="3"/>
  <c r="AO104" i="3"/>
  <c r="AO114" i="3"/>
  <c r="AO93" i="3"/>
  <c r="AO90" i="3"/>
  <c r="AO86" i="3"/>
  <c r="AO112" i="3"/>
  <c r="AO117" i="3"/>
  <c r="AO109" i="3"/>
  <c r="AO92" i="3"/>
  <c r="AO91" i="3"/>
  <c r="AO100" i="3"/>
  <c r="AO95" i="3"/>
  <c r="AO89" i="3"/>
  <c r="AO119" i="3"/>
  <c r="AO101" i="3"/>
  <c r="AO87" i="3"/>
  <c r="AO97" i="3"/>
  <c r="AO108" i="3"/>
  <c r="AO88" i="3"/>
  <c r="AO115" i="3"/>
  <c r="AO99" i="3"/>
  <c r="AO111" i="3"/>
  <c r="AO116" i="3"/>
  <c r="AO110" i="3"/>
  <c r="AO94" i="3"/>
  <c r="AO113" i="3"/>
  <c r="AO118" i="3"/>
  <c r="AO103" i="3"/>
  <c r="AO98" i="3"/>
  <c r="AO102" i="3"/>
  <c r="R109" i="4"/>
  <c r="S109" i="4" s="1"/>
  <c r="M110" i="4" s="1"/>
  <c r="N110" i="4" s="1"/>
  <c r="Q110" i="4" s="1"/>
  <c r="I110" i="4" s="1"/>
  <c r="P109" i="4"/>
  <c r="J109" i="4" s="1"/>
  <c r="U109" i="4"/>
  <c r="A109" i="4"/>
  <c r="Q109" i="4"/>
  <c r="I109" i="4" s="1"/>
  <c r="O109" i="4"/>
  <c r="W109" i="4" s="1"/>
  <c r="E85" i="3"/>
  <c r="AU88" i="3"/>
  <c r="AU86" i="3"/>
  <c r="AU90" i="3"/>
  <c r="AU102" i="3"/>
  <c r="AU103" i="3"/>
  <c r="AU104" i="3"/>
  <c r="AU111" i="3"/>
  <c r="AU98" i="3"/>
  <c r="AU105" i="3"/>
  <c r="AU96" i="3"/>
  <c r="AU93" i="3"/>
  <c r="AU99" i="3"/>
  <c r="AU110" i="3"/>
  <c r="AU115" i="3"/>
  <c r="AU92" i="3"/>
  <c r="AU109" i="3"/>
  <c r="AU95" i="3"/>
  <c r="AU89" i="3"/>
  <c r="AU87" i="3"/>
  <c r="AU107" i="3"/>
  <c r="AU113" i="3"/>
  <c r="AU91" i="3"/>
  <c r="AU112" i="3"/>
  <c r="AU108" i="3"/>
  <c r="AU114" i="3"/>
  <c r="AU117" i="3"/>
  <c r="AU97" i="3"/>
  <c r="AU94" i="3"/>
  <c r="AU116" i="3"/>
  <c r="AU100" i="3"/>
  <c r="AU101" i="3"/>
  <c r="AU118" i="3"/>
  <c r="AU119" i="3"/>
  <c r="W6" i="10" s="1"/>
  <c r="AU106" i="3"/>
  <c r="V6" i="10"/>
  <c r="F6" i="10" s="1"/>
  <c r="AH38" i="10"/>
  <c r="R38" i="10" s="1"/>
  <c r="U56" i="10"/>
  <c r="E56" i="10" s="1"/>
  <c r="AB9" i="10"/>
  <c r="L9" i="10" s="1"/>
  <c r="V44" i="10"/>
  <c r="F44" i="10" s="1"/>
  <c r="U18" i="10"/>
  <c r="E18" i="10" s="1"/>
  <c r="AE18" i="10"/>
  <c r="N18" i="10" s="1"/>
  <c r="V38" i="10"/>
  <c r="F38" i="10" s="1"/>
  <c r="V21" i="10"/>
  <c r="F21" i="10" s="1"/>
  <c r="AH41" i="10"/>
  <c r="R41" i="10" s="1"/>
  <c r="AE35" i="10"/>
  <c r="N35" i="10" s="1"/>
  <c r="AE53" i="10"/>
  <c r="N53" i="10" s="1"/>
  <c r="AE50" i="10"/>
  <c r="N50" i="10" s="1"/>
  <c r="AH53" i="10"/>
  <c r="R53" i="10" s="1"/>
  <c r="AG53" i="10"/>
  <c r="Q53" i="10" s="1"/>
  <c r="U9" i="10"/>
  <c r="E9" i="10" s="1"/>
  <c r="AF9" i="10"/>
  <c r="P9" i="10" s="1"/>
  <c r="Y9" i="10"/>
  <c r="H9" i="10" s="1"/>
  <c r="AA41" i="10"/>
  <c r="K41" i="10" s="1"/>
  <c r="AG12" i="10"/>
  <c r="Q12" i="10" s="1"/>
  <c r="AF44" i="10"/>
  <c r="P44" i="10" s="1"/>
  <c r="AF24" i="10"/>
  <c r="P24" i="10" s="1"/>
  <c r="Z12" i="10"/>
  <c r="J12" i="10" s="1"/>
  <c r="Y12" i="10"/>
  <c r="H12" i="10" s="1"/>
  <c r="T47" i="10"/>
  <c r="D47" i="10" s="1"/>
  <c r="S9" i="10"/>
  <c r="B9" i="10" s="1"/>
  <c r="AE41" i="10"/>
  <c r="N41" i="10" s="1"/>
  <c r="AF15" i="10"/>
  <c r="P15" i="10" s="1"/>
  <c r="T12" i="10"/>
  <c r="D12" i="10" s="1"/>
  <c r="AG38" i="10"/>
  <c r="Q38" i="10" s="1"/>
  <c r="AH6" i="10"/>
  <c r="R6" i="10" s="1"/>
  <c r="Y27" i="10"/>
  <c r="H27" i="10" s="1"/>
  <c r="AF27" i="10"/>
  <c r="AH18" i="10"/>
  <c r="R18" i="10" s="1"/>
  <c r="Y41" i="10"/>
  <c r="H41" i="10" s="1"/>
  <c r="S47" i="10"/>
  <c r="B47" i="10" s="1"/>
  <c r="S44" i="10"/>
  <c r="B44" i="10" s="1"/>
  <c r="AH27" i="10"/>
  <c r="W27" i="10"/>
  <c r="AI50" i="10"/>
  <c r="AC35" i="10"/>
  <c r="W44" i="10"/>
  <c r="W12" i="10"/>
  <c r="AC27" i="10"/>
  <c r="W53" i="10"/>
  <c r="AC38" i="10"/>
  <c r="W38" i="10"/>
  <c r="AI15" i="10"/>
  <c r="T6" i="10"/>
  <c r="D6" i="10" s="1"/>
  <c r="AF12" i="10"/>
  <c r="P12" i="10" s="1"/>
  <c r="T24" i="10"/>
  <c r="D24" i="10" s="1"/>
  <c r="U27" i="10"/>
  <c r="E27" i="10" s="1"/>
  <c r="AG24" i="10"/>
  <c r="Q24" i="10" s="1"/>
  <c r="AG56" i="10"/>
  <c r="AB12" i="10"/>
  <c r="L12" i="10" s="1"/>
  <c r="Z27" i="10"/>
  <c r="J27" i="10" s="1"/>
  <c r="T50" i="10"/>
  <c r="D50" i="10" s="1"/>
  <c r="U38" i="10"/>
  <c r="E38" i="10" s="1"/>
  <c r="U41" i="10"/>
  <c r="E41" i="10" s="1"/>
  <c r="AG50" i="10"/>
  <c r="Q50" i="10" s="1"/>
  <c r="Y6" i="10"/>
  <c r="H6" i="10" s="1"/>
  <c r="AF47" i="10"/>
  <c r="P47" i="10" s="1"/>
  <c r="AA6" i="10"/>
  <c r="K6" i="10" s="1"/>
  <c r="W50" i="10"/>
  <c r="AC6" i="10"/>
  <c r="AI53" i="10"/>
  <c r="U6" i="10"/>
  <c r="E6" i="10" s="1"/>
  <c r="S50" i="10"/>
  <c r="B50" i="10" s="1"/>
  <c r="T18" i="10"/>
  <c r="D18" i="10" s="1"/>
  <c r="AF50" i="10"/>
  <c r="P50" i="10" s="1"/>
  <c r="U53" i="10"/>
  <c r="E53" i="10" s="1"/>
  <c r="AG47" i="10"/>
  <c r="Q47" i="10" s="1"/>
  <c r="V50" i="10"/>
  <c r="F50" i="10" s="1"/>
  <c r="V9" i="10"/>
  <c r="F9" i="10" s="1"/>
  <c r="T53" i="10"/>
  <c r="D53" i="10" s="1"/>
  <c r="V18" i="10"/>
  <c r="F18" i="10" s="1"/>
  <c r="T35" i="10"/>
  <c r="D35" i="10" s="1"/>
  <c r="V53" i="10"/>
  <c r="F53" i="10" s="1"/>
  <c r="Z38" i="10"/>
  <c r="J38" i="10" s="1"/>
  <c r="AG18" i="10"/>
  <c r="Q18" i="10" s="1"/>
  <c r="AG21" i="10"/>
  <c r="Q21" i="10" s="1"/>
  <c r="AF56" i="10"/>
  <c r="AB35" i="10"/>
  <c r="L35" i="10" s="1"/>
  <c r="S12" i="10"/>
  <c r="B12" i="10" s="1"/>
  <c r="AF6" i="10"/>
  <c r="P6" i="10" s="1"/>
  <c r="AF18" i="10"/>
  <c r="P18" i="10" s="1"/>
  <c r="AG44" i="10"/>
  <c r="Q44" i="10" s="1"/>
  <c r="Y35" i="10"/>
  <c r="H35" i="10" s="1"/>
  <c r="AE38" i="10"/>
  <c r="N38" i="10" s="1"/>
  <c r="U24" i="10"/>
  <c r="E24" i="10" s="1"/>
  <c r="AG9" i="10"/>
  <c r="Q9" i="10" s="1"/>
  <c r="V47" i="10"/>
  <c r="F47" i="10" s="1"/>
  <c r="AH12" i="10"/>
  <c r="R12" i="10" s="1"/>
  <c r="V27" i="10"/>
  <c r="F27" i="10" s="1"/>
  <c r="AF38" i="10"/>
  <c r="P38" i="10" s="1"/>
  <c r="S24" i="10"/>
  <c r="B24" i="10" s="1"/>
  <c r="AB56" i="10"/>
  <c r="L56" i="10" s="1"/>
  <c r="S56" i="10"/>
  <c r="B56" i="10" s="1"/>
  <c r="AE27" i="10"/>
  <c r="T44" i="10"/>
  <c r="D44" i="10" s="1"/>
  <c r="AB41" i="10"/>
  <c r="L41" i="10" s="1"/>
  <c r="U47" i="10"/>
  <c r="E47" i="10" s="1"/>
  <c r="S41" i="10"/>
  <c r="B41" i="10" s="1"/>
  <c r="AF53" i="10"/>
  <c r="P53" i="10" s="1"/>
  <c r="AE15" i="10"/>
  <c r="N15" i="10" s="1"/>
  <c r="W18" i="10"/>
  <c r="AI35" i="10"/>
  <c r="AI47" i="10"/>
  <c r="AI38" i="10"/>
  <c r="W47" i="10"/>
  <c r="AC9" i="10"/>
  <c r="AI56" i="10"/>
  <c r="W9" i="10"/>
  <c r="W35" i="10"/>
  <c r="W41" i="10"/>
  <c r="S21" i="10"/>
  <c r="B21" i="10" s="1"/>
  <c r="T41" i="10"/>
  <c r="D41" i="10" s="1"/>
  <c r="AA38" i="10"/>
  <c r="K38" i="10" s="1"/>
  <c r="Z35" i="10"/>
  <c r="J35" i="10" s="1"/>
  <c r="Y56" i="10"/>
  <c r="H56" i="10" s="1"/>
  <c r="Y38" i="10"/>
  <c r="H38" i="10" s="1"/>
  <c r="T27" i="10"/>
  <c r="D27" i="10" s="1"/>
  <c r="T9" i="10"/>
  <c r="D9" i="10" s="1"/>
  <c r="AH21" i="10"/>
  <c r="R21" i="10" s="1"/>
  <c r="U44" i="10"/>
  <c r="E44" i="10" s="1"/>
  <c r="AH24" i="10"/>
  <c r="R24" i="10" s="1"/>
  <c r="U12" i="10"/>
  <c r="E12" i="10" s="1"/>
  <c r="AG35" i="10"/>
  <c r="Q35" i="10" s="1"/>
  <c r="AE47" i="10"/>
  <c r="N47" i="10" s="1"/>
  <c r="AC12" i="10"/>
  <c r="AC41" i="10"/>
  <c r="AC56" i="10"/>
  <c r="S6" i="10"/>
  <c r="B6" i="10" s="1"/>
  <c r="AE12" i="10"/>
  <c r="N12" i="10" s="1"/>
  <c r="V35" i="10"/>
  <c r="F35" i="10" s="1"/>
  <c r="AA35" i="10"/>
  <c r="K35" i="10" s="1"/>
  <c r="AB38" i="10"/>
  <c r="L38" i="10" s="1"/>
  <c r="Z9" i="10"/>
  <c r="J9" i="10" s="1"/>
  <c r="AB6" i="10"/>
  <c r="L6" i="10" s="1"/>
  <c r="V56" i="10"/>
  <c r="F56" i="10" s="1"/>
  <c r="AE44" i="10"/>
  <c r="N44" i="10" s="1"/>
  <c r="AB27" i="10"/>
  <c r="L27" i="10" s="1"/>
  <c r="S35" i="10"/>
  <c r="B35" i="10" s="1"/>
  <c r="AE24" i="10"/>
  <c r="N24" i="10" s="1"/>
  <c r="S53" i="10"/>
  <c r="B53" i="10" s="1"/>
  <c r="AF21" i="10"/>
  <c r="P21" i="10" s="1"/>
  <c r="AE9" i="10"/>
  <c r="N9" i="10" s="1"/>
  <c r="AA12" i="10"/>
  <c r="K12" i="10" s="1"/>
  <c r="S38" i="10"/>
  <c r="B38" i="10" s="1"/>
  <c r="AH56" i="10"/>
  <c r="U21" i="10"/>
  <c r="E21" i="10" s="1"/>
  <c r="T38" i="10"/>
  <c r="D38" i="10" s="1"/>
  <c r="AG15" i="10"/>
  <c r="Q15" i="10" s="1"/>
  <c r="V24" i="10"/>
  <c r="F24" i="10" s="1"/>
  <c r="AA9" i="10"/>
  <c r="K9" i="10" s="1"/>
  <c r="AG41" i="10"/>
  <c r="Q41" i="10" s="1"/>
  <c r="V12" i="10"/>
  <c r="F12" i="10" s="1"/>
  <c r="AH9" i="10"/>
  <c r="R9" i="10" s="1"/>
  <c r="AG6" i="10"/>
  <c r="Q6" i="10" s="1"/>
  <c r="AE56" i="10"/>
  <c r="S18" i="10"/>
  <c r="B18" i="10" s="1"/>
  <c r="AH35" i="10"/>
  <c r="R35" i="10" s="1"/>
  <c r="Z56" i="10"/>
  <c r="J56" i="10" s="1"/>
  <c r="T56" i="10"/>
  <c r="D56" i="10" s="1"/>
  <c r="AH15" i="10"/>
  <c r="R15" i="10" s="1"/>
  <c r="AE6" i="10"/>
  <c r="N6" i="10" s="1"/>
  <c r="S27" i="10"/>
  <c r="B27" i="10" s="1"/>
  <c r="AA27" i="10"/>
  <c r="K27" i="10" s="1"/>
  <c r="AF41" i="10"/>
  <c r="P41" i="10" s="1"/>
  <c r="U35" i="10"/>
  <c r="E35" i="10" s="1"/>
  <c r="AA56" i="10"/>
  <c r="K56" i="10" s="1"/>
  <c r="AI27" i="10"/>
  <c r="AI18" i="10"/>
  <c r="AI12" i="10"/>
  <c r="AI9" i="10"/>
  <c r="AI44" i="10"/>
  <c r="AI6" i="10"/>
  <c r="AI41" i="10"/>
  <c r="W21" i="10"/>
  <c r="AI24" i="10"/>
  <c r="AE21" i="10"/>
  <c r="N21" i="10" s="1"/>
  <c r="AF35" i="10"/>
  <c r="P35" i="10" s="1"/>
  <c r="AH47" i="10"/>
  <c r="R47" i="10" s="1"/>
  <c r="AH44" i="10"/>
  <c r="R44" i="10" s="1"/>
  <c r="AH50" i="10"/>
  <c r="R50" i="10" s="1"/>
  <c r="Z6" i="10"/>
  <c r="J6" i="10" s="1"/>
  <c r="U50" i="10"/>
  <c r="E50" i="10" s="1"/>
  <c r="T21" i="10"/>
  <c r="D21" i="10" s="1"/>
  <c r="Z41" i="10"/>
  <c r="J41" i="10" s="1"/>
  <c r="AG27" i="10"/>
  <c r="V41" i="10"/>
  <c r="F41" i="10" s="1"/>
  <c r="W56" i="10"/>
  <c r="W24" i="10"/>
  <c r="AI21" i="10"/>
  <c r="P110" i="4" l="1"/>
  <c r="J110" i="4" s="1"/>
  <c r="T16" i="10"/>
  <c r="D16" i="10" s="1"/>
  <c r="A110" i="4"/>
  <c r="C110" i="4" s="1"/>
  <c r="R110" i="4"/>
  <c r="S110" i="4" s="1"/>
  <c r="M111" i="4" s="1"/>
  <c r="N111" i="4" s="1"/>
  <c r="Q111" i="4" s="1"/>
  <c r="I111" i="4" s="1"/>
  <c r="U110" i="4"/>
  <c r="O110" i="4"/>
  <c r="V110" i="4" s="1"/>
  <c r="U16" i="10"/>
  <c r="E16" i="10" s="1"/>
  <c r="S16" i="10"/>
  <c r="B16" i="10" s="1"/>
  <c r="W16" i="10"/>
  <c r="T17" i="10" s="1"/>
  <c r="D17" i="10" s="1"/>
  <c r="AA42" i="10"/>
  <c r="K42" i="10" s="1"/>
  <c r="Z42" i="10"/>
  <c r="J42" i="10" s="1"/>
  <c r="AC42" i="10"/>
  <c r="Y42" i="10"/>
  <c r="H42" i="10" s="1"/>
  <c r="AB42" i="10"/>
  <c r="L42" i="10" s="1"/>
  <c r="Y10" i="10"/>
  <c r="H10" i="10" s="1"/>
  <c r="AA10" i="10"/>
  <c r="K10" i="10" s="1"/>
  <c r="AB10" i="10"/>
  <c r="L10" i="10" s="1"/>
  <c r="Z10" i="10"/>
  <c r="J10" i="10" s="1"/>
  <c r="AC10" i="10"/>
  <c r="V28" i="10"/>
  <c r="F28" i="10" s="1"/>
  <c r="U28" i="10"/>
  <c r="E28" i="10" s="1"/>
  <c r="T28" i="10"/>
  <c r="D28" i="10" s="1"/>
  <c r="S28" i="10"/>
  <c r="B28" i="10" s="1"/>
  <c r="W28" i="10"/>
  <c r="S7" i="10"/>
  <c r="B7" i="10" s="1"/>
  <c r="W7" i="10"/>
  <c r="T7" i="10"/>
  <c r="D7" i="10" s="1"/>
  <c r="U7" i="10"/>
  <c r="E7" i="10" s="1"/>
  <c r="V7" i="10"/>
  <c r="F7" i="10" s="1"/>
  <c r="C109" i="4"/>
  <c r="E109" i="4"/>
  <c r="L109" i="4" s="1"/>
  <c r="D109" i="4"/>
  <c r="B109" i="4"/>
  <c r="Y109" i="4"/>
  <c r="Z109" i="4" s="1"/>
  <c r="F109" i="4"/>
  <c r="G109" i="4" s="1"/>
  <c r="AG10" i="10"/>
  <c r="Q10" i="10" s="1"/>
  <c r="AH10" i="10"/>
  <c r="R10" i="10" s="1"/>
  <c r="AF10" i="10"/>
  <c r="P10" i="10" s="1"/>
  <c r="AI10" i="10"/>
  <c r="AE10" i="10"/>
  <c r="N10" i="10" s="1"/>
  <c r="S13" i="10"/>
  <c r="B13" i="10" s="1"/>
  <c r="U13" i="10"/>
  <c r="E13" i="10" s="1"/>
  <c r="W13" i="10"/>
  <c r="V13" i="10"/>
  <c r="F13" i="10" s="1"/>
  <c r="T13" i="10"/>
  <c r="D13" i="10" s="1"/>
  <c r="AF22" i="10"/>
  <c r="P22" i="10" s="1"/>
  <c r="AE22" i="10"/>
  <c r="N22" i="10" s="1"/>
  <c r="AI22" i="10"/>
  <c r="AH22" i="10"/>
  <c r="R22" i="10" s="1"/>
  <c r="AG22" i="10"/>
  <c r="Q22" i="10" s="1"/>
  <c r="AE42" i="10"/>
  <c r="N42" i="10" s="1"/>
  <c r="AG42" i="10"/>
  <c r="Q42" i="10" s="1"/>
  <c r="AH42" i="10"/>
  <c r="R42" i="10" s="1"/>
  <c r="AF42" i="10"/>
  <c r="P42" i="10" s="1"/>
  <c r="AI42" i="10"/>
  <c r="AG13" i="10"/>
  <c r="Q13" i="10" s="1"/>
  <c r="AE13" i="10"/>
  <c r="N13" i="10" s="1"/>
  <c r="AH13" i="10"/>
  <c r="R13" i="10" s="1"/>
  <c r="AI13" i="10"/>
  <c r="AF13" i="10"/>
  <c r="P13" i="10" s="1"/>
  <c r="AA13" i="10"/>
  <c r="K13" i="10" s="1"/>
  <c r="Z13" i="10"/>
  <c r="J13" i="10" s="1"/>
  <c r="Y13" i="10"/>
  <c r="H13" i="10" s="1"/>
  <c r="AB13" i="10"/>
  <c r="L13" i="10" s="1"/>
  <c r="AC13" i="10"/>
  <c r="V36" i="10"/>
  <c r="F36" i="10" s="1"/>
  <c r="T36" i="10"/>
  <c r="D36" i="10" s="1"/>
  <c r="U36" i="10"/>
  <c r="E36" i="10" s="1"/>
  <c r="W36" i="10"/>
  <c r="S36" i="10"/>
  <c r="B36" i="10" s="1"/>
  <c r="V48" i="10"/>
  <c r="F48" i="10" s="1"/>
  <c r="W48" i="10"/>
  <c r="S48" i="10"/>
  <c r="B48" i="10" s="1"/>
  <c r="U48" i="10"/>
  <c r="E48" i="10" s="1"/>
  <c r="T48" i="10"/>
  <c r="D48" i="10" s="1"/>
  <c r="W19" i="10"/>
  <c r="U19" i="10"/>
  <c r="E19" i="10" s="1"/>
  <c r="T19" i="10"/>
  <c r="D19" i="10" s="1"/>
  <c r="V19" i="10"/>
  <c r="F19" i="10" s="1"/>
  <c r="S19" i="10"/>
  <c r="B19" i="10" s="1"/>
  <c r="AG54" i="10"/>
  <c r="Q54" i="10" s="1"/>
  <c r="AH54" i="10"/>
  <c r="R54" i="10" s="1"/>
  <c r="AF54" i="10"/>
  <c r="P54" i="10" s="1"/>
  <c r="AI54" i="10"/>
  <c r="AE54" i="10"/>
  <c r="N54" i="10" s="1"/>
  <c r="AA39" i="10"/>
  <c r="K39" i="10" s="1"/>
  <c r="Z39" i="10"/>
  <c r="J39" i="10" s="1"/>
  <c r="AC39" i="10"/>
  <c r="AB39" i="10"/>
  <c r="L39" i="10" s="1"/>
  <c r="Y39" i="10"/>
  <c r="H39" i="10" s="1"/>
  <c r="T45" i="10"/>
  <c r="D45" i="10" s="1"/>
  <c r="S45" i="10"/>
  <c r="B45" i="10" s="1"/>
  <c r="V45" i="10"/>
  <c r="F45" i="10" s="1"/>
  <c r="W45" i="10"/>
  <c r="U45" i="10"/>
  <c r="E45" i="10" s="1"/>
  <c r="AD15" i="8"/>
  <c r="AD41" i="8"/>
  <c r="AE2" i="8"/>
  <c r="AD2" i="8"/>
  <c r="AE15" i="8"/>
  <c r="AE41" i="8"/>
  <c r="AD28" i="8"/>
  <c r="AD54" i="8"/>
  <c r="AE28" i="8"/>
  <c r="AE54" i="8"/>
  <c r="W22" i="10"/>
  <c r="S22" i="10"/>
  <c r="B22" i="10" s="1"/>
  <c r="V22" i="10"/>
  <c r="F22" i="10" s="1"/>
  <c r="U22" i="10"/>
  <c r="E22" i="10" s="1"/>
  <c r="T22" i="10"/>
  <c r="D22" i="10" s="1"/>
  <c r="U42" i="10"/>
  <c r="E42" i="10" s="1"/>
  <c r="T42" i="10"/>
  <c r="D42" i="10" s="1"/>
  <c r="W42" i="10"/>
  <c r="V42" i="10"/>
  <c r="F42" i="10" s="1"/>
  <c r="S42" i="10"/>
  <c r="B42" i="10" s="1"/>
  <c r="AI36" i="10"/>
  <c r="AG36" i="10"/>
  <c r="Q36" i="10" s="1"/>
  <c r="AH36" i="10"/>
  <c r="R36" i="10" s="1"/>
  <c r="AE36" i="10"/>
  <c r="N36" i="10" s="1"/>
  <c r="AF36" i="10"/>
  <c r="P36" i="10" s="1"/>
  <c r="U39" i="10"/>
  <c r="E39" i="10" s="1"/>
  <c r="T39" i="10"/>
  <c r="D39" i="10" s="1"/>
  <c r="S39" i="10"/>
  <c r="B39" i="10" s="1"/>
  <c r="W39" i="10"/>
  <c r="V39" i="10"/>
  <c r="F39" i="10" s="1"/>
  <c r="T25" i="10"/>
  <c r="D25" i="10" s="1"/>
  <c r="W25" i="10"/>
  <c r="S25" i="10"/>
  <c r="B25" i="10" s="1"/>
  <c r="U25" i="10"/>
  <c r="E25" i="10" s="1"/>
  <c r="V25" i="10"/>
  <c r="F25" i="10" s="1"/>
  <c r="AF7" i="10"/>
  <c r="P7" i="10" s="1"/>
  <c r="AH7" i="10"/>
  <c r="R7" i="10" s="1"/>
  <c r="AG7" i="10"/>
  <c r="Q7" i="10" s="1"/>
  <c r="AE7" i="10"/>
  <c r="N7" i="10" s="1"/>
  <c r="AI7" i="10"/>
  <c r="AG19" i="10"/>
  <c r="Q19" i="10" s="1"/>
  <c r="AE19" i="10"/>
  <c r="N19" i="10" s="1"/>
  <c r="AF19" i="10"/>
  <c r="P19" i="10" s="1"/>
  <c r="AI19" i="10"/>
  <c r="AH19" i="10"/>
  <c r="R19" i="10" s="1"/>
  <c r="S10" i="10"/>
  <c r="B10" i="10" s="1"/>
  <c r="V10" i="10"/>
  <c r="F10" i="10" s="1"/>
  <c r="W10" i="10"/>
  <c r="U10" i="10"/>
  <c r="E10" i="10" s="1"/>
  <c r="T10" i="10"/>
  <c r="D10" i="10" s="1"/>
  <c r="AH39" i="10"/>
  <c r="R39" i="10" s="1"/>
  <c r="AG39" i="10"/>
  <c r="Q39" i="10" s="1"/>
  <c r="AF39" i="10"/>
  <c r="P39" i="10" s="1"/>
  <c r="AI39" i="10"/>
  <c r="AE39" i="10"/>
  <c r="N39" i="10" s="1"/>
  <c r="AA7" i="10"/>
  <c r="K7" i="10" s="1"/>
  <c r="AB7" i="10"/>
  <c r="L7" i="10" s="1"/>
  <c r="Y7" i="10"/>
  <c r="H7" i="10" s="1"/>
  <c r="AC7" i="10"/>
  <c r="Z7" i="10"/>
  <c r="J7" i="10" s="1"/>
  <c r="V54" i="10"/>
  <c r="F54" i="10" s="1"/>
  <c r="S54" i="10"/>
  <c r="B54" i="10" s="1"/>
  <c r="U54" i="10"/>
  <c r="E54" i="10" s="1"/>
  <c r="T54" i="10"/>
  <c r="D54" i="10" s="1"/>
  <c r="W54" i="10"/>
  <c r="Z36" i="10"/>
  <c r="J36" i="10" s="1"/>
  <c r="AB36" i="10"/>
  <c r="L36" i="10" s="1"/>
  <c r="AC36" i="10"/>
  <c r="AA36" i="10"/>
  <c r="K36" i="10" s="1"/>
  <c r="Y36" i="10"/>
  <c r="H36" i="10" s="1"/>
  <c r="V109" i="4"/>
  <c r="H109" i="4"/>
  <c r="AO1" i="3"/>
  <c r="AO2" i="3" s="1"/>
  <c r="BF121" i="3"/>
  <c r="BF122" i="3" s="1"/>
  <c r="BF123" i="3" s="1"/>
  <c r="S57" i="10"/>
  <c r="B57" i="10" s="1"/>
  <c r="U57" i="10"/>
  <c r="E57" i="10" s="1"/>
  <c r="V57" i="10"/>
  <c r="F57" i="10" s="1"/>
  <c r="T57" i="10"/>
  <c r="D57" i="10" s="1"/>
  <c r="W57" i="10"/>
  <c r="AI25" i="10"/>
  <c r="AG25" i="10"/>
  <c r="Q25" i="10" s="1"/>
  <c r="AH25" i="10"/>
  <c r="R25" i="10" s="1"/>
  <c r="AE25" i="10"/>
  <c r="N25" i="10" s="1"/>
  <c r="AF25" i="10"/>
  <c r="P25" i="10" s="1"/>
  <c r="AI45" i="10"/>
  <c r="AE45" i="10"/>
  <c r="N45" i="10" s="1"/>
  <c r="AF45" i="10"/>
  <c r="P45" i="10" s="1"/>
  <c r="AG45" i="10"/>
  <c r="Q45" i="10" s="1"/>
  <c r="AH45" i="10"/>
  <c r="R45" i="10" s="1"/>
  <c r="AH28" i="10"/>
  <c r="AG28" i="10"/>
  <c r="AI28" i="10"/>
  <c r="AE28" i="10"/>
  <c r="AF28" i="10"/>
  <c r="Y57" i="10"/>
  <c r="H57" i="10" s="1"/>
  <c r="AB57" i="10"/>
  <c r="L57" i="10" s="1"/>
  <c r="AA57" i="10"/>
  <c r="K57" i="10" s="1"/>
  <c r="Z57" i="10"/>
  <c r="J57" i="10" s="1"/>
  <c r="AC57" i="10"/>
  <c r="AH57" i="10"/>
  <c r="AF57" i="10"/>
  <c r="AE57" i="10"/>
  <c r="AG57" i="10"/>
  <c r="AI57" i="10"/>
  <c r="AI48" i="10"/>
  <c r="AF48" i="10"/>
  <c r="P48" i="10" s="1"/>
  <c r="AH48" i="10"/>
  <c r="R48" i="10" s="1"/>
  <c r="AE48" i="10"/>
  <c r="N48" i="10" s="1"/>
  <c r="AG48" i="10"/>
  <c r="Q48" i="10" s="1"/>
  <c r="V51" i="10"/>
  <c r="F51" i="10" s="1"/>
  <c r="U51" i="10"/>
  <c r="E51" i="10" s="1"/>
  <c r="T51" i="10"/>
  <c r="D51" i="10" s="1"/>
  <c r="S51" i="10"/>
  <c r="B51" i="10" s="1"/>
  <c r="W51" i="10"/>
  <c r="AF16" i="10"/>
  <c r="P16" i="10" s="1"/>
  <c r="AG16" i="10"/>
  <c r="Q16" i="10" s="1"/>
  <c r="AI16" i="10"/>
  <c r="AE16" i="10"/>
  <c r="N16" i="10" s="1"/>
  <c r="AH16" i="10"/>
  <c r="R16" i="10" s="1"/>
  <c r="AC28" i="10"/>
  <c r="Y28" i="10"/>
  <c r="H28" i="10" s="1"/>
  <c r="Z28" i="10"/>
  <c r="J28" i="10" s="1"/>
  <c r="AB28" i="10"/>
  <c r="L28" i="10" s="1"/>
  <c r="AA28" i="10"/>
  <c r="K28" i="10" s="1"/>
  <c r="AG51" i="10"/>
  <c r="Q51" i="10" s="1"/>
  <c r="AE51" i="10"/>
  <c r="N51" i="10" s="1"/>
  <c r="AF51" i="10"/>
  <c r="P51" i="10" s="1"/>
  <c r="AI51" i="10"/>
  <c r="AH51" i="10"/>
  <c r="R51" i="10" s="1"/>
  <c r="AU1" i="3"/>
  <c r="AU2" i="3" s="1"/>
  <c r="U37" i="4"/>
  <c r="A37" i="4"/>
  <c r="Q37" i="4"/>
  <c r="I37" i="4" s="1"/>
  <c r="P37" i="4"/>
  <c r="J37" i="4" s="1"/>
  <c r="R37" i="4"/>
  <c r="S37" i="4" s="1"/>
  <c r="M38" i="4" s="1"/>
  <c r="O37" i="4"/>
  <c r="E110" i="4" l="1"/>
  <c r="D110" i="4"/>
  <c r="B110" i="4"/>
  <c r="K109" i="4"/>
  <c r="Y110" i="4"/>
  <c r="Z110" i="4" s="1"/>
  <c r="W110" i="4"/>
  <c r="F110" i="4"/>
  <c r="G110" i="4" s="1"/>
  <c r="L110" i="4"/>
  <c r="K110" i="4"/>
  <c r="N38" i="4"/>
  <c r="O38" i="4" s="1"/>
  <c r="V38" i="4" s="1"/>
  <c r="H110" i="4"/>
  <c r="U17" i="10"/>
  <c r="E17" i="10" s="1"/>
  <c r="V17" i="10"/>
  <c r="F17" i="10" s="1"/>
  <c r="S17" i="10"/>
  <c r="B17" i="10" s="1"/>
  <c r="W17" i="10"/>
  <c r="G3" i="3"/>
  <c r="P38" i="4"/>
  <c r="J38" i="4" s="1"/>
  <c r="A38" i="4"/>
  <c r="B38" i="4" s="1"/>
  <c r="D37" i="4"/>
  <c r="F37" i="4"/>
  <c r="G37" i="4" s="1"/>
  <c r="C37" i="4"/>
  <c r="B37" i="4"/>
  <c r="E37" i="4"/>
  <c r="K37" i="4" s="1"/>
  <c r="Y37" i="4"/>
  <c r="Z37" i="4" s="1"/>
  <c r="AG52" i="10"/>
  <c r="Q52" i="10" s="1"/>
  <c r="AI52" i="10"/>
  <c r="AE52" i="10"/>
  <c r="N52" i="10" s="1"/>
  <c r="AH52" i="10"/>
  <c r="R52" i="10" s="1"/>
  <c r="AF52" i="10"/>
  <c r="P52" i="10" s="1"/>
  <c r="Y29" i="10"/>
  <c r="H29" i="10" s="1"/>
  <c r="Z29" i="10"/>
  <c r="J29" i="10" s="1"/>
  <c r="AB29" i="10"/>
  <c r="L29" i="10" s="1"/>
  <c r="AC29" i="10"/>
  <c r="AA29" i="10"/>
  <c r="K29" i="10" s="1"/>
  <c r="AE58" i="10"/>
  <c r="AI58" i="10"/>
  <c r="AG58" i="10"/>
  <c r="AH58" i="10"/>
  <c r="AF58" i="10"/>
  <c r="AG29" i="10"/>
  <c r="AF29" i="10"/>
  <c r="AI29" i="10"/>
  <c r="AH29" i="10"/>
  <c r="AE29" i="10"/>
  <c r="AI26" i="10"/>
  <c r="AF26" i="10"/>
  <c r="P26" i="10" s="1"/>
  <c r="AG26" i="10"/>
  <c r="Q26" i="10" s="1"/>
  <c r="AE26" i="10"/>
  <c r="N26" i="10" s="1"/>
  <c r="AH26" i="10"/>
  <c r="R26" i="10" s="1"/>
  <c r="Z37" i="10"/>
  <c r="J37" i="10" s="1"/>
  <c r="Y37" i="10"/>
  <c r="H37" i="10" s="1"/>
  <c r="AA37" i="10"/>
  <c r="K37" i="10" s="1"/>
  <c r="AC37" i="10"/>
  <c r="AB37" i="10"/>
  <c r="L37" i="10" s="1"/>
  <c r="S11" i="10"/>
  <c r="B11" i="10" s="1"/>
  <c r="U11" i="10"/>
  <c r="E11" i="10" s="1"/>
  <c r="T11" i="10"/>
  <c r="D11" i="10" s="1"/>
  <c r="W11" i="10"/>
  <c r="V11" i="10"/>
  <c r="F11" i="10" s="1"/>
  <c r="AI20" i="10"/>
  <c r="AE20" i="10"/>
  <c r="N20" i="10" s="1"/>
  <c r="AH20" i="10"/>
  <c r="R20" i="10" s="1"/>
  <c r="AF20" i="10"/>
  <c r="P20" i="10" s="1"/>
  <c r="AG20" i="10"/>
  <c r="Q20" i="10" s="1"/>
  <c r="AG8" i="10"/>
  <c r="Q8" i="10" s="1"/>
  <c r="AI8" i="10"/>
  <c r="AH8" i="10"/>
  <c r="R8" i="10" s="1"/>
  <c r="AF8" i="10"/>
  <c r="P8" i="10" s="1"/>
  <c r="AE8" i="10"/>
  <c r="N8" i="10" s="1"/>
  <c r="T26" i="10"/>
  <c r="D26" i="10" s="1"/>
  <c r="V26" i="10"/>
  <c r="F26" i="10" s="1"/>
  <c r="W26" i="10"/>
  <c r="U26" i="10"/>
  <c r="E26" i="10" s="1"/>
  <c r="S26" i="10"/>
  <c r="B26" i="10" s="1"/>
  <c r="C59" i="8"/>
  <c r="J61" i="8"/>
  <c r="I58" i="8"/>
  <c r="AD55" i="8"/>
  <c r="L58" i="8"/>
  <c r="C58" i="8"/>
  <c r="C63" i="8"/>
  <c r="A58" i="8"/>
  <c r="AD56" i="8"/>
  <c r="C54" i="8"/>
  <c r="G61" i="8"/>
  <c r="L56" i="8"/>
  <c r="C61" i="8"/>
  <c r="I6" i="8"/>
  <c r="L4" i="8"/>
  <c r="C9" i="8"/>
  <c r="C2" i="8"/>
  <c r="L6" i="8"/>
  <c r="C11" i="8"/>
  <c r="J9" i="8"/>
  <c r="G9" i="8"/>
  <c r="AD3" i="8"/>
  <c r="A6" i="8"/>
  <c r="C6" i="8"/>
  <c r="C7" i="8"/>
  <c r="AG14" i="10"/>
  <c r="Q14" i="10" s="1"/>
  <c r="AH14" i="10"/>
  <c r="R14" i="10" s="1"/>
  <c r="AF14" i="10"/>
  <c r="P14" i="10" s="1"/>
  <c r="AE14" i="10"/>
  <c r="N14" i="10" s="1"/>
  <c r="AI14" i="10"/>
  <c r="AE43" i="10"/>
  <c r="N43" i="10" s="1"/>
  <c r="AF43" i="10"/>
  <c r="P43" i="10" s="1"/>
  <c r="AI43" i="10"/>
  <c r="AG43" i="10"/>
  <c r="Q43" i="10" s="1"/>
  <c r="AH43" i="10"/>
  <c r="R43" i="10" s="1"/>
  <c r="U14" i="10"/>
  <c r="E14" i="10" s="1"/>
  <c r="T14" i="10"/>
  <c r="D14" i="10" s="1"/>
  <c r="W14" i="10"/>
  <c r="V14" i="10"/>
  <c r="F14" i="10" s="1"/>
  <c r="S14" i="10"/>
  <c r="B14" i="10" s="1"/>
  <c r="AF11" i="10"/>
  <c r="P11" i="10" s="1"/>
  <c r="AG11" i="10"/>
  <c r="Q11" i="10" s="1"/>
  <c r="AH11" i="10"/>
  <c r="R11" i="10" s="1"/>
  <c r="AI11" i="10"/>
  <c r="AE11" i="10"/>
  <c r="N11" i="10" s="1"/>
  <c r="Y58" i="10"/>
  <c r="H58" i="10" s="1"/>
  <c r="AA58" i="10"/>
  <c r="K58" i="10" s="1"/>
  <c r="AC58" i="10"/>
  <c r="AB58" i="10"/>
  <c r="L58" i="10" s="1"/>
  <c r="Z58" i="10"/>
  <c r="J58" i="10" s="1"/>
  <c r="S58" i="10"/>
  <c r="B58" i="10" s="1"/>
  <c r="V58" i="10"/>
  <c r="F58" i="10" s="1"/>
  <c r="T58" i="10"/>
  <c r="D58" i="10" s="1"/>
  <c r="U58" i="10"/>
  <c r="E58" i="10" s="1"/>
  <c r="W58" i="10"/>
  <c r="AC8" i="10"/>
  <c r="Z8" i="10"/>
  <c r="J8" i="10" s="1"/>
  <c r="Y8" i="10"/>
  <c r="H8" i="10" s="1"/>
  <c r="AA8" i="10"/>
  <c r="K8" i="10" s="1"/>
  <c r="AB8" i="10"/>
  <c r="L8" i="10" s="1"/>
  <c r="W23" i="10"/>
  <c r="S23" i="10"/>
  <c r="B23" i="10" s="1"/>
  <c r="T23" i="10"/>
  <c r="D23" i="10" s="1"/>
  <c r="V23" i="10"/>
  <c r="F23" i="10" s="1"/>
  <c r="U23" i="10"/>
  <c r="E23" i="10" s="1"/>
  <c r="AD30" i="8"/>
  <c r="G35" i="8"/>
  <c r="C28" i="8"/>
  <c r="I32" i="8"/>
  <c r="AD29" i="8"/>
  <c r="C35" i="8"/>
  <c r="A32" i="8"/>
  <c r="L30" i="8"/>
  <c r="L32" i="8"/>
  <c r="C37" i="8"/>
  <c r="C32" i="8"/>
  <c r="J35" i="8"/>
  <c r="C33" i="8"/>
  <c r="R2" i="8"/>
  <c r="X6" i="8"/>
  <c r="V9" i="8"/>
  <c r="P6" i="8"/>
  <c r="R6" i="8"/>
  <c r="AA6" i="8"/>
  <c r="R11" i="8"/>
  <c r="Y9" i="8"/>
  <c r="R7" i="8"/>
  <c r="AE3" i="8"/>
  <c r="R9" i="8"/>
  <c r="AA4" i="8"/>
  <c r="T46" i="10"/>
  <c r="D46" i="10" s="1"/>
  <c r="U46" i="10"/>
  <c r="E46" i="10" s="1"/>
  <c r="V46" i="10"/>
  <c r="F46" i="10" s="1"/>
  <c r="W46" i="10"/>
  <c r="S46" i="10"/>
  <c r="B46" i="10" s="1"/>
  <c r="W29" i="10"/>
  <c r="S29" i="10"/>
  <c r="B29" i="10" s="1"/>
  <c r="T29" i="10"/>
  <c r="D29" i="10" s="1"/>
  <c r="V29" i="10"/>
  <c r="F29" i="10" s="1"/>
  <c r="U29" i="10"/>
  <c r="E29" i="10" s="1"/>
  <c r="Y43" i="10"/>
  <c r="H43" i="10" s="1"/>
  <c r="Z43" i="10"/>
  <c r="J43" i="10" s="1"/>
  <c r="AB43" i="10"/>
  <c r="L43" i="10" s="1"/>
  <c r="AC43" i="10"/>
  <c r="AA43" i="10"/>
  <c r="K43" i="10" s="1"/>
  <c r="W37" i="4"/>
  <c r="V37" i="4"/>
  <c r="H37" i="4"/>
  <c r="S52" i="10"/>
  <c r="B52" i="10" s="1"/>
  <c r="W52" i="10"/>
  <c r="T52" i="10"/>
  <c r="D52" i="10" s="1"/>
  <c r="V52" i="10"/>
  <c r="F52" i="10" s="1"/>
  <c r="U52" i="10"/>
  <c r="E52" i="10" s="1"/>
  <c r="AE40" i="10"/>
  <c r="N40" i="10" s="1"/>
  <c r="AG40" i="10"/>
  <c r="Q40" i="10" s="1"/>
  <c r="AF40" i="10"/>
  <c r="P40" i="10" s="1"/>
  <c r="AI40" i="10"/>
  <c r="AH40" i="10"/>
  <c r="R40" i="10" s="1"/>
  <c r="U43" i="10"/>
  <c r="E43" i="10" s="1"/>
  <c r="S43" i="10"/>
  <c r="B43" i="10" s="1"/>
  <c r="W43" i="10"/>
  <c r="V43" i="10"/>
  <c r="F43" i="10" s="1"/>
  <c r="T43" i="10"/>
  <c r="D43" i="10" s="1"/>
  <c r="R63" i="8"/>
  <c r="AE55" i="8"/>
  <c r="X58" i="8"/>
  <c r="R58" i="8"/>
  <c r="R61" i="8"/>
  <c r="AA56" i="8"/>
  <c r="Y61" i="8"/>
  <c r="AA58" i="8"/>
  <c r="V61" i="8"/>
  <c r="R59" i="8"/>
  <c r="R54" i="8"/>
  <c r="P58" i="8"/>
  <c r="AE42" i="8"/>
  <c r="AA45" i="8"/>
  <c r="V48" i="8"/>
  <c r="R50" i="8"/>
  <c r="R48" i="8"/>
  <c r="R45" i="8"/>
  <c r="P45" i="8"/>
  <c r="Y48" i="8"/>
  <c r="X45" i="8"/>
  <c r="R46" i="8"/>
  <c r="AA43" i="8"/>
  <c r="R41" i="8"/>
  <c r="C50" i="8"/>
  <c r="C45" i="8"/>
  <c r="I45" i="8"/>
  <c r="C48" i="8"/>
  <c r="L45" i="8"/>
  <c r="G48" i="8"/>
  <c r="C46" i="8"/>
  <c r="A45" i="8"/>
  <c r="AD42" i="8"/>
  <c r="L43" i="8"/>
  <c r="AD43" i="8"/>
  <c r="C41" i="8"/>
  <c r="J48" i="8"/>
  <c r="V37" i="10"/>
  <c r="F37" i="10" s="1"/>
  <c r="W37" i="10"/>
  <c r="T37" i="10"/>
  <c r="D37" i="10" s="1"/>
  <c r="S37" i="10"/>
  <c r="B37" i="10" s="1"/>
  <c r="U37" i="10"/>
  <c r="E37" i="10" s="1"/>
  <c r="Z14" i="10"/>
  <c r="J14" i="10" s="1"/>
  <c r="AA14" i="10"/>
  <c r="K14" i="10" s="1"/>
  <c r="AB14" i="10"/>
  <c r="L14" i="10" s="1"/>
  <c r="Y14" i="10"/>
  <c r="H14" i="10" s="1"/>
  <c r="AC14" i="10"/>
  <c r="AB109" i="4"/>
  <c r="AA109" i="4"/>
  <c r="AA11" i="10"/>
  <c r="K11" i="10" s="1"/>
  <c r="Z11" i="10"/>
  <c r="J11" i="10" s="1"/>
  <c r="Y11" i="10"/>
  <c r="H11" i="10" s="1"/>
  <c r="AC11" i="10"/>
  <c r="AB11" i="10"/>
  <c r="L11" i="10" s="1"/>
  <c r="AE17" i="10"/>
  <c r="N17" i="10" s="1"/>
  <c r="AH17" i="10"/>
  <c r="R17" i="10" s="1"/>
  <c r="AI17" i="10"/>
  <c r="AG17" i="10"/>
  <c r="Q17" i="10" s="1"/>
  <c r="AF17" i="10"/>
  <c r="P17" i="10" s="1"/>
  <c r="AH49" i="10"/>
  <c r="R49" i="10" s="1"/>
  <c r="AI49" i="10"/>
  <c r="AG49" i="10"/>
  <c r="Q49" i="10" s="1"/>
  <c r="AE49" i="10"/>
  <c r="N49" i="10" s="1"/>
  <c r="AF49" i="10"/>
  <c r="P49" i="10" s="1"/>
  <c r="AH46" i="10"/>
  <c r="R46" i="10" s="1"/>
  <c r="AI46" i="10"/>
  <c r="AF46" i="10"/>
  <c r="P46" i="10" s="1"/>
  <c r="AE46" i="10"/>
  <c r="N46" i="10" s="1"/>
  <c r="AG46" i="10"/>
  <c r="Q46" i="10" s="1"/>
  <c r="U55" i="10"/>
  <c r="E55" i="10" s="1"/>
  <c r="S55" i="10"/>
  <c r="B55" i="10" s="1"/>
  <c r="V55" i="10"/>
  <c r="F55" i="10" s="1"/>
  <c r="W55" i="10"/>
  <c r="T55" i="10"/>
  <c r="D55" i="10" s="1"/>
  <c r="U40" i="10"/>
  <c r="E40" i="10" s="1"/>
  <c r="V40" i="10"/>
  <c r="F40" i="10" s="1"/>
  <c r="T40" i="10"/>
  <c r="D40" i="10" s="1"/>
  <c r="W40" i="10"/>
  <c r="S40" i="10"/>
  <c r="B40" i="10" s="1"/>
  <c r="AE37" i="10"/>
  <c r="N37" i="10" s="1"/>
  <c r="AF37" i="10"/>
  <c r="P37" i="10" s="1"/>
  <c r="AG37" i="10"/>
  <c r="Q37" i="10" s="1"/>
  <c r="AI37" i="10"/>
  <c r="AH37" i="10"/>
  <c r="R37" i="10" s="1"/>
  <c r="AA32" i="8"/>
  <c r="X32" i="8"/>
  <c r="V35" i="8"/>
  <c r="AE29" i="8"/>
  <c r="P32" i="8"/>
  <c r="R32" i="8"/>
  <c r="R37" i="8"/>
  <c r="R28" i="8"/>
  <c r="R35" i="8"/>
  <c r="R33" i="8"/>
  <c r="AA30" i="8"/>
  <c r="Y35" i="8"/>
  <c r="R22" i="8"/>
  <c r="V22" i="8"/>
  <c r="R19" i="8"/>
  <c r="AA19" i="8"/>
  <c r="P19" i="8"/>
  <c r="AA17" i="8"/>
  <c r="R20" i="8"/>
  <c r="AE16" i="8"/>
  <c r="X19" i="8"/>
  <c r="R15" i="8"/>
  <c r="Y22" i="8"/>
  <c r="R24" i="8"/>
  <c r="AD16" i="8"/>
  <c r="L19" i="8"/>
  <c r="C24" i="8"/>
  <c r="G22" i="8"/>
  <c r="A19" i="8"/>
  <c r="C19" i="8"/>
  <c r="C20" i="8"/>
  <c r="J22" i="8"/>
  <c r="I19" i="8"/>
  <c r="C22" i="8"/>
  <c r="L17" i="8"/>
  <c r="C15" i="8"/>
  <c r="AB40" i="10"/>
  <c r="L40" i="10" s="1"/>
  <c r="Z40" i="10"/>
  <c r="J40" i="10" s="1"/>
  <c r="Y40" i="10"/>
  <c r="H40" i="10" s="1"/>
  <c r="AA40" i="10"/>
  <c r="K40" i="10" s="1"/>
  <c r="AC40" i="10"/>
  <c r="AF55" i="10"/>
  <c r="P55" i="10" s="1"/>
  <c r="AE55" i="10"/>
  <c r="N55" i="10" s="1"/>
  <c r="AI55" i="10"/>
  <c r="AH55" i="10"/>
  <c r="R55" i="10" s="1"/>
  <c r="AG55" i="10"/>
  <c r="Q55" i="10" s="1"/>
  <c r="V20" i="10"/>
  <c r="F20" i="10" s="1"/>
  <c r="W20" i="10"/>
  <c r="T20" i="10"/>
  <c r="D20" i="10" s="1"/>
  <c r="U20" i="10"/>
  <c r="E20" i="10" s="1"/>
  <c r="S20" i="10"/>
  <c r="B20" i="10" s="1"/>
  <c r="W49" i="10"/>
  <c r="S49" i="10"/>
  <c r="B49" i="10" s="1"/>
  <c r="V49" i="10"/>
  <c r="F49" i="10" s="1"/>
  <c r="U49" i="10"/>
  <c r="E49" i="10" s="1"/>
  <c r="T49" i="10"/>
  <c r="D49" i="10" s="1"/>
  <c r="AE23" i="10"/>
  <c r="N23" i="10" s="1"/>
  <c r="AH23" i="10"/>
  <c r="R23" i="10" s="1"/>
  <c r="AG23" i="10"/>
  <c r="Q23" i="10" s="1"/>
  <c r="AF23" i="10"/>
  <c r="P23" i="10" s="1"/>
  <c r="AI23" i="10"/>
  <c r="U8" i="10"/>
  <c r="E8" i="10" s="1"/>
  <c r="V8" i="10"/>
  <c r="F8" i="10" s="1"/>
  <c r="W8" i="10"/>
  <c r="S8" i="10"/>
  <c r="B8" i="10" s="1"/>
  <c r="T8" i="10"/>
  <c r="D8" i="10" s="1"/>
  <c r="O111" i="4"/>
  <c r="V111" i="4" s="1"/>
  <c r="R111" i="4"/>
  <c r="S111" i="4" s="1"/>
  <c r="M112" i="4" s="1"/>
  <c r="P111" i="4"/>
  <c r="J111" i="4" s="1"/>
  <c r="U111" i="4"/>
  <c r="A111" i="4"/>
  <c r="W111" i="4" l="1"/>
  <c r="H38" i="4"/>
  <c r="U38" i="4"/>
  <c r="R38" i="4"/>
  <c r="S38" i="4" s="1"/>
  <c r="M39" i="4" s="1"/>
  <c r="N39" i="4" s="1"/>
  <c r="R39" i="4" s="1"/>
  <c r="S39" i="4" s="1"/>
  <c r="M40" i="4" s="1"/>
  <c r="W38" i="4"/>
  <c r="Q38" i="4"/>
  <c r="I38" i="4" s="1"/>
  <c r="C38" i="4"/>
  <c r="F38" i="4"/>
  <c r="G38" i="4" s="1"/>
  <c r="Y38" i="4"/>
  <c r="Z38" i="4" s="1"/>
  <c r="AA38" i="4" s="1"/>
  <c r="E38" i="4"/>
  <c r="L38" i="4" s="1"/>
  <c r="D38" i="4"/>
  <c r="AD57" i="8"/>
  <c r="I54" i="8" s="1"/>
  <c r="L37" i="4"/>
  <c r="AD44" i="8"/>
  <c r="I41" i="8" s="1"/>
  <c r="AD32" i="8"/>
  <c r="AD33" i="8"/>
  <c r="AD59" i="8"/>
  <c r="AD58" i="8"/>
  <c r="AD109" i="4"/>
  <c r="AC109" i="4"/>
  <c r="AD46" i="8"/>
  <c r="AD45" i="8"/>
  <c r="AE56" i="8"/>
  <c r="AE57" i="8" s="1"/>
  <c r="X54" i="8" s="1"/>
  <c r="AE59" i="8"/>
  <c r="AE58" i="8"/>
  <c r="AD6" i="8"/>
  <c r="AD7" i="8"/>
  <c r="AE43" i="8"/>
  <c r="AE44" i="8" s="1"/>
  <c r="X41" i="8" s="1"/>
  <c r="AE45" i="8"/>
  <c r="AE46" i="8"/>
  <c r="AE6" i="8"/>
  <c r="AE7" i="8"/>
  <c r="AD31" i="8"/>
  <c r="I28" i="8" s="1"/>
  <c r="AB37" i="4"/>
  <c r="AA37" i="4"/>
  <c r="AD20" i="8"/>
  <c r="AD19" i="8"/>
  <c r="AE17" i="8"/>
  <c r="AE18" i="8" s="1"/>
  <c r="X15" i="8" s="1"/>
  <c r="AE19" i="8"/>
  <c r="AE20" i="8"/>
  <c r="AE32" i="8"/>
  <c r="AE30" i="8"/>
  <c r="AE31" i="8" s="1"/>
  <c r="X28" i="8" s="1"/>
  <c r="AE33" i="8"/>
  <c r="N40" i="4"/>
  <c r="O40" i="4" s="1"/>
  <c r="H111" i="4"/>
  <c r="D111" i="4"/>
  <c r="F111" i="4"/>
  <c r="G111" i="4" s="1"/>
  <c r="C111" i="4"/>
  <c r="Y111" i="4"/>
  <c r="Z111" i="4" s="1"/>
  <c r="B111" i="4"/>
  <c r="K111" i="4"/>
  <c r="L111" i="4"/>
  <c r="E111" i="4"/>
  <c r="AB110" i="4"/>
  <c r="AA110" i="4"/>
  <c r="N112" i="4"/>
  <c r="Q112" i="4" s="1"/>
  <c r="I112" i="4" s="1"/>
  <c r="A39" i="4" l="1"/>
  <c r="C39" i="4" s="1"/>
  <c r="O39" i="4"/>
  <c r="W39" i="4" s="1"/>
  <c r="Q39" i="4"/>
  <c r="I39" i="4" s="1"/>
  <c r="U39" i="4"/>
  <c r="P39" i="4"/>
  <c r="J39" i="4" s="1"/>
  <c r="K38" i="4"/>
  <c r="AB38" i="4"/>
  <c r="AD38" i="4" s="1"/>
  <c r="AE21" i="8"/>
  <c r="AB15" i="8" s="1"/>
  <c r="AE8" i="8"/>
  <c r="AB2" i="8" s="1"/>
  <c r="AD8" i="8"/>
  <c r="M2" i="8" s="1"/>
  <c r="AD47" i="8"/>
  <c r="M41" i="8" s="1"/>
  <c r="AC37" i="4"/>
  <c r="AD37" i="4"/>
  <c r="AD60" i="8"/>
  <c r="M54" i="8" s="1"/>
  <c r="AE34" i="8"/>
  <c r="AB28" i="8" s="1"/>
  <c r="AD21" i="8"/>
  <c r="M15" i="8" s="1"/>
  <c r="AE47" i="8"/>
  <c r="AB41" i="8" s="1"/>
  <c r="AE60" i="8"/>
  <c r="AB54" i="8" s="1"/>
  <c r="AE109" i="4"/>
  <c r="AF109" i="4"/>
  <c r="AD34" i="8"/>
  <c r="M28" i="8" s="1"/>
  <c r="V40" i="4"/>
  <c r="H40" i="4"/>
  <c r="W40" i="4"/>
  <c r="R40" i="4"/>
  <c r="S40" i="4" s="1"/>
  <c r="M41" i="4" s="1"/>
  <c r="P40" i="4"/>
  <c r="J40" i="4" s="1"/>
  <c r="Q40" i="4"/>
  <c r="I40" i="4" s="1"/>
  <c r="U40" i="4"/>
  <c r="A40" i="4"/>
  <c r="P112" i="4"/>
  <c r="J112" i="4" s="1"/>
  <c r="R112" i="4"/>
  <c r="S112" i="4" s="1"/>
  <c r="M113" i="4" s="1"/>
  <c r="N113" i="4" s="1"/>
  <c r="Q113" i="4" s="1"/>
  <c r="I113" i="4" s="1"/>
  <c r="AB111" i="4"/>
  <c r="AA111" i="4"/>
  <c r="O112" i="4"/>
  <c r="W112" i="4" s="1"/>
  <c r="U112" i="4"/>
  <c r="A112" i="4"/>
  <c r="AC110" i="4"/>
  <c r="AD110" i="4"/>
  <c r="B39" i="4" l="1"/>
  <c r="Y39" i="4"/>
  <c r="Z39" i="4" s="1"/>
  <c r="AA39" i="4" s="1"/>
  <c r="D39" i="4"/>
  <c r="E39" i="4"/>
  <c r="K39" i="4" s="1"/>
  <c r="V39" i="4"/>
  <c r="F39" i="4"/>
  <c r="G39" i="4" s="1"/>
  <c r="H39" i="4"/>
  <c r="AC38" i="4"/>
  <c r="AE37" i="4"/>
  <c r="AF37" i="4"/>
  <c r="AH109" i="4"/>
  <c r="AG109" i="4"/>
  <c r="N41" i="4"/>
  <c r="R41" i="4" s="1"/>
  <c r="S41" i="4" s="1"/>
  <c r="M42" i="4" s="1"/>
  <c r="N42" i="4" s="1"/>
  <c r="P42" i="4" s="1"/>
  <c r="J42" i="4" s="1"/>
  <c r="L39" i="4"/>
  <c r="Y40" i="4"/>
  <c r="Z40" i="4" s="1"/>
  <c r="AB40" i="4" s="1"/>
  <c r="E40" i="4"/>
  <c r="L40" i="4" s="1"/>
  <c r="B40" i="4"/>
  <c r="D40" i="4"/>
  <c r="F40" i="4"/>
  <c r="G40" i="4" s="1"/>
  <c r="C40" i="4"/>
  <c r="AE38" i="4"/>
  <c r="AF38" i="4"/>
  <c r="P113" i="4"/>
  <c r="J113" i="4" s="1"/>
  <c r="O113" i="4"/>
  <c r="V113" i="4" s="1"/>
  <c r="AE110" i="4"/>
  <c r="AF110" i="4"/>
  <c r="R113" i="4"/>
  <c r="S113" i="4" s="1"/>
  <c r="M114" i="4" s="1"/>
  <c r="AD111" i="4"/>
  <c r="AC111" i="4"/>
  <c r="H112" i="4"/>
  <c r="V112" i="4"/>
  <c r="L112" i="4"/>
  <c r="C112" i="4"/>
  <c r="B112" i="4"/>
  <c r="Y112" i="4"/>
  <c r="D112" i="4"/>
  <c r="F112" i="4"/>
  <c r="G112" i="4" s="1"/>
  <c r="E112" i="4"/>
  <c r="K112" i="4"/>
  <c r="U113" i="4"/>
  <c r="A113" i="4"/>
  <c r="AB39" i="4" l="1"/>
  <c r="AC39" i="4" s="1"/>
  <c r="W113" i="4"/>
  <c r="AA40" i="4"/>
  <c r="AI109" i="4"/>
  <c r="AJ109" i="4"/>
  <c r="AH37" i="4"/>
  <c r="AG37" i="4"/>
  <c r="Q41" i="4"/>
  <c r="I41" i="4" s="1"/>
  <c r="A41" i="4"/>
  <c r="P41" i="4"/>
  <c r="J41" i="4" s="1"/>
  <c r="U41" i="4"/>
  <c r="O41" i="4"/>
  <c r="W41" i="4" s="1"/>
  <c r="K40" i="4"/>
  <c r="AH38" i="4"/>
  <c r="AG38" i="4"/>
  <c r="H113" i="4"/>
  <c r="R42" i="4"/>
  <c r="S42" i="4" s="1"/>
  <c r="M43" i="4" s="1"/>
  <c r="N43" i="4" s="1"/>
  <c r="P43" i="4" s="1"/>
  <c r="J43" i="4" s="1"/>
  <c r="AC40" i="4"/>
  <c r="AD40" i="4"/>
  <c r="U42" i="4"/>
  <c r="A42" i="4"/>
  <c r="AE111" i="4"/>
  <c r="AF111" i="4"/>
  <c r="N114" i="4"/>
  <c r="O42" i="4"/>
  <c r="AH110" i="4"/>
  <c r="AG110" i="4"/>
  <c r="D113" i="4"/>
  <c r="K113" i="4"/>
  <c r="E113" i="4"/>
  <c r="C113" i="4"/>
  <c r="L113" i="4"/>
  <c r="F113" i="4"/>
  <c r="G113" i="4" s="1"/>
  <c r="Y113" i="4"/>
  <c r="B113" i="4"/>
  <c r="Z112" i="4"/>
  <c r="Q42" i="4"/>
  <c r="I42" i="4" s="1"/>
  <c r="AD39" i="4" l="1"/>
  <c r="AF39" i="4" s="1"/>
  <c r="AJ37" i="4"/>
  <c r="AI37" i="4"/>
  <c r="AL109" i="4"/>
  <c r="AK109" i="4"/>
  <c r="V41" i="4"/>
  <c r="H41" i="4"/>
  <c r="B41" i="4"/>
  <c r="C41" i="4"/>
  <c r="D41" i="4"/>
  <c r="Y41" i="4"/>
  <c r="Z41" i="4" s="1"/>
  <c r="AB41" i="4" s="1"/>
  <c r="E41" i="4"/>
  <c r="L41" i="4" s="1"/>
  <c r="F41" i="4"/>
  <c r="G41" i="4" s="1"/>
  <c r="AJ38" i="4"/>
  <c r="AI38" i="4"/>
  <c r="Q114" i="4"/>
  <c r="I114" i="4" s="1"/>
  <c r="U114" i="4"/>
  <c r="A114" i="4"/>
  <c r="F42" i="4"/>
  <c r="G42" i="4" s="1"/>
  <c r="C42" i="4"/>
  <c r="B42" i="4"/>
  <c r="D42" i="4"/>
  <c r="E42" i="4"/>
  <c r="L42" i="4" s="1"/>
  <c r="Y42" i="4"/>
  <c r="AA112" i="4"/>
  <c r="AB112" i="4"/>
  <c r="O114" i="4"/>
  <c r="W114" i="4" s="1"/>
  <c r="R43" i="4"/>
  <c r="S43" i="4" s="1"/>
  <c r="M44" i="4" s="1"/>
  <c r="U43" i="4"/>
  <c r="A43" i="4"/>
  <c r="R114" i="4"/>
  <c r="S114" i="4" s="1"/>
  <c r="M115" i="4" s="1"/>
  <c r="O43" i="4"/>
  <c r="W43" i="4" s="1"/>
  <c r="AF40" i="4"/>
  <c r="AE40" i="4"/>
  <c r="W42" i="4"/>
  <c r="H42" i="4"/>
  <c r="V42" i="4"/>
  <c r="AH111" i="4"/>
  <c r="AG111" i="4"/>
  <c r="Z113" i="4"/>
  <c r="AJ110" i="4"/>
  <c r="AI110" i="4"/>
  <c r="P114" i="4"/>
  <c r="J114" i="4" s="1"/>
  <c r="Q43" i="4"/>
  <c r="I43" i="4" s="1"/>
  <c r="AE39" i="4" l="1"/>
  <c r="AA41" i="4"/>
  <c r="AN109" i="4"/>
  <c r="AM109" i="4"/>
  <c r="AL37" i="4"/>
  <c r="AK37" i="4"/>
  <c r="K41" i="4"/>
  <c r="AG39" i="4"/>
  <c r="AH39" i="4"/>
  <c r="AK38" i="4"/>
  <c r="AL38" i="4"/>
  <c r="K42" i="4"/>
  <c r="AK110" i="4"/>
  <c r="AL110" i="4"/>
  <c r="AI111" i="4"/>
  <c r="AJ111" i="4"/>
  <c r="B114" i="4"/>
  <c r="D114" i="4"/>
  <c r="K114" i="4"/>
  <c r="L114" i="4"/>
  <c r="E114" i="4"/>
  <c r="F114" i="4"/>
  <c r="G114" i="4" s="1"/>
  <c r="Y114" i="4"/>
  <c r="C114" i="4"/>
  <c r="AG40" i="4"/>
  <c r="AH40" i="4"/>
  <c r="N115" i="4"/>
  <c r="Q115" i="4" s="1"/>
  <c r="I115" i="4" s="1"/>
  <c r="N44" i="4"/>
  <c r="Z42" i="4"/>
  <c r="AA113" i="4"/>
  <c r="AB113" i="4"/>
  <c r="H43" i="4"/>
  <c r="V43" i="4"/>
  <c r="F43" i="4"/>
  <c r="G43" i="4" s="1"/>
  <c r="L43" i="4"/>
  <c r="K43" i="4"/>
  <c r="E43" i="4"/>
  <c r="B43" i="4"/>
  <c r="C43" i="4"/>
  <c r="Y43" i="4"/>
  <c r="D43" i="4"/>
  <c r="V114" i="4"/>
  <c r="H114" i="4"/>
  <c r="AC41" i="4"/>
  <c r="AD41" i="4"/>
  <c r="AC112" i="4"/>
  <c r="AD112" i="4"/>
  <c r="AN37" i="4" l="1"/>
  <c r="AM37" i="4"/>
  <c r="AP109" i="4"/>
  <c r="AO109" i="4"/>
  <c r="AJ39" i="4"/>
  <c r="AI39" i="4"/>
  <c r="AM38" i="4"/>
  <c r="AN38" i="4"/>
  <c r="U44" i="4"/>
  <c r="A44" i="4"/>
  <c r="AD113" i="4"/>
  <c r="AC113" i="4"/>
  <c r="AB42" i="4"/>
  <c r="AA42" i="4"/>
  <c r="O44" i="4"/>
  <c r="W44" i="4" s="1"/>
  <c r="AM110" i="4"/>
  <c r="AN110" i="4"/>
  <c r="P44" i="4"/>
  <c r="J44" i="4" s="1"/>
  <c r="P115" i="4"/>
  <c r="J115" i="4" s="1"/>
  <c r="A115" i="4"/>
  <c r="U115" i="4"/>
  <c r="Z114" i="4"/>
  <c r="AE41" i="4"/>
  <c r="AF41" i="4"/>
  <c r="R44" i="4"/>
  <c r="S44" i="4" s="1"/>
  <c r="M45" i="4" s="1"/>
  <c r="R115" i="4"/>
  <c r="S115" i="4" s="1"/>
  <c r="M116" i="4" s="1"/>
  <c r="AJ40" i="4"/>
  <c r="AI40" i="4"/>
  <c r="AK111" i="4"/>
  <c r="AL111" i="4"/>
  <c r="AE112" i="4"/>
  <c r="AF112" i="4"/>
  <c r="Z43" i="4"/>
  <c r="Q44" i="4"/>
  <c r="I44" i="4" s="1"/>
  <c r="O115" i="4"/>
  <c r="W115" i="4" s="1"/>
  <c r="AR109" i="4" l="1"/>
  <c r="AQ109" i="4"/>
  <c r="AO37" i="4"/>
  <c r="AP37" i="4"/>
  <c r="AL39" i="4"/>
  <c r="AK39" i="4"/>
  <c r="AP38" i="4"/>
  <c r="AO38" i="4"/>
  <c r="N45" i="4"/>
  <c r="R45" i="4" s="1"/>
  <c r="S45" i="4" s="1"/>
  <c r="M46" i="4" s="1"/>
  <c r="AM111" i="4"/>
  <c r="AN111" i="4"/>
  <c r="AH41" i="4"/>
  <c r="AG41" i="4"/>
  <c r="E115" i="4"/>
  <c r="F115" i="4"/>
  <c r="G115" i="4" s="1"/>
  <c r="B115" i="4"/>
  <c r="C115" i="4"/>
  <c r="Y115" i="4"/>
  <c r="L115" i="4"/>
  <c r="D115" i="4"/>
  <c r="K115" i="4"/>
  <c r="AP110" i="4"/>
  <c r="AO110" i="4"/>
  <c r="V44" i="4"/>
  <c r="H44" i="4"/>
  <c r="AE113" i="4"/>
  <c r="AF113" i="4"/>
  <c r="AB43" i="4"/>
  <c r="AA43" i="4"/>
  <c r="AK40" i="4"/>
  <c r="AL40" i="4"/>
  <c r="Y44" i="4"/>
  <c r="E44" i="4"/>
  <c r="K44" i="4"/>
  <c r="L44" i="4"/>
  <c r="C44" i="4"/>
  <c r="D44" i="4"/>
  <c r="F44" i="4"/>
  <c r="G44" i="4" s="1"/>
  <c r="B44" i="4"/>
  <c r="V115" i="4"/>
  <c r="H115" i="4"/>
  <c r="AH112" i="4"/>
  <c r="AG112" i="4"/>
  <c r="N116" i="4"/>
  <c r="P116" i="4" s="1"/>
  <c r="J116" i="4" s="1"/>
  <c r="AA114" i="4"/>
  <c r="AB114" i="4"/>
  <c r="AC42" i="4"/>
  <c r="AD42" i="4"/>
  <c r="AQ37" i="4" l="1"/>
  <c r="AR37" i="4"/>
  <c r="AT109" i="4"/>
  <c r="AS109" i="4"/>
  <c r="AN39" i="4"/>
  <c r="AM39" i="4"/>
  <c r="AR38" i="4"/>
  <c r="AQ38" i="4"/>
  <c r="O116" i="4"/>
  <c r="V116" i="4" s="1"/>
  <c r="R116" i="4"/>
  <c r="S116" i="4" s="1"/>
  <c r="M117" i="4" s="1"/>
  <c r="N117" i="4" s="1"/>
  <c r="O117" i="4" s="1"/>
  <c r="N46" i="4"/>
  <c r="P46" i="4" s="1"/>
  <c r="J46" i="4" s="1"/>
  <c r="AC43" i="4"/>
  <c r="AD43" i="4"/>
  <c r="AI41" i="4"/>
  <c r="AJ41" i="4"/>
  <c r="P45" i="4"/>
  <c r="J45" i="4" s="1"/>
  <c r="U116" i="4"/>
  <c r="A116" i="4"/>
  <c r="Z44" i="4"/>
  <c r="AH113" i="4"/>
  <c r="AG113" i="4"/>
  <c r="AP111" i="4"/>
  <c r="AO111" i="4"/>
  <c r="AR110" i="4"/>
  <c r="AQ110" i="4"/>
  <c r="Z115" i="4"/>
  <c r="Q45" i="4"/>
  <c r="I45" i="4" s="1"/>
  <c r="U45" i="4"/>
  <c r="A45" i="4"/>
  <c r="AE42" i="4"/>
  <c r="AF42" i="4"/>
  <c r="AC114" i="4"/>
  <c r="AD114" i="4"/>
  <c r="Q116" i="4"/>
  <c r="I116" i="4" s="1"/>
  <c r="AI112" i="4"/>
  <c r="AJ112" i="4"/>
  <c r="AN40" i="4"/>
  <c r="AM40" i="4"/>
  <c r="O45" i="4"/>
  <c r="W45" i="4" s="1"/>
  <c r="W116" i="4" l="1"/>
  <c r="AV109" i="4"/>
  <c r="AU109" i="4"/>
  <c r="AS37" i="4"/>
  <c r="AT37" i="4"/>
  <c r="AP39" i="4"/>
  <c r="AO39" i="4"/>
  <c r="AT38" i="4"/>
  <c r="AS38" i="4"/>
  <c r="H116" i="4"/>
  <c r="P117" i="4"/>
  <c r="J117" i="4" s="1"/>
  <c r="H117" i="4"/>
  <c r="V117" i="4"/>
  <c r="AH42" i="4"/>
  <c r="AG42" i="4"/>
  <c r="R117" i="4"/>
  <c r="S117" i="4" s="1"/>
  <c r="M118" i="4" s="1"/>
  <c r="Q46" i="4"/>
  <c r="I46" i="4" s="1"/>
  <c r="AL112" i="4"/>
  <c r="AK112" i="4"/>
  <c r="V45" i="4"/>
  <c r="H45" i="4"/>
  <c r="AP40" i="4"/>
  <c r="AO40" i="4"/>
  <c r="AF114" i="4"/>
  <c r="AE114" i="4"/>
  <c r="AA115" i="4"/>
  <c r="AB115" i="4"/>
  <c r="AR111" i="4"/>
  <c r="AQ111" i="4"/>
  <c r="AL41" i="4"/>
  <c r="AK41" i="4"/>
  <c r="AA44" i="4"/>
  <c r="AB44" i="4"/>
  <c r="AF43" i="4"/>
  <c r="AE43" i="4"/>
  <c r="O46" i="4"/>
  <c r="W46" i="4" s="1"/>
  <c r="U46" i="4"/>
  <c r="A46" i="4"/>
  <c r="C45" i="4"/>
  <c r="D45" i="4"/>
  <c r="B45" i="4"/>
  <c r="K45" i="4"/>
  <c r="L45" i="4"/>
  <c r="F45" i="4"/>
  <c r="G45" i="4" s="1"/>
  <c r="E45" i="4"/>
  <c r="Y45" i="4"/>
  <c r="AS110" i="4"/>
  <c r="AT110" i="4"/>
  <c r="Q117" i="4"/>
  <c r="I117" i="4" s="1"/>
  <c r="W117" i="4"/>
  <c r="U117" i="4"/>
  <c r="A117" i="4"/>
  <c r="AJ113" i="4"/>
  <c r="AI113" i="4"/>
  <c r="F116" i="4"/>
  <c r="G116" i="4" s="1"/>
  <c r="B116" i="4"/>
  <c r="K116" i="4"/>
  <c r="L116" i="4"/>
  <c r="Y116" i="4"/>
  <c r="E116" i="4"/>
  <c r="C116" i="4"/>
  <c r="D116" i="4"/>
  <c r="R46" i="4"/>
  <c r="S46" i="4" s="1"/>
  <c r="M47" i="4" s="1"/>
  <c r="AU37" i="4" l="1"/>
  <c r="AV37" i="4"/>
  <c r="AW109" i="4"/>
  <c r="AX109" i="4"/>
  <c r="AQ39" i="4"/>
  <c r="AR39" i="4"/>
  <c r="AU38" i="4"/>
  <c r="AV38" i="4"/>
  <c r="AH43" i="4"/>
  <c r="AG43" i="4"/>
  <c r="AM41" i="4"/>
  <c r="AN41" i="4"/>
  <c r="AQ40" i="4"/>
  <c r="AR40" i="4"/>
  <c r="AJ42" i="4"/>
  <c r="AI42" i="4"/>
  <c r="AK113" i="4"/>
  <c r="AL113" i="4"/>
  <c r="C117" i="4"/>
  <c r="E117" i="4"/>
  <c r="L117" i="4"/>
  <c r="D117" i="4"/>
  <c r="K117" i="4"/>
  <c r="Y117" i="4"/>
  <c r="F117" i="4"/>
  <c r="G117" i="4" s="1"/>
  <c r="B117" i="4"/>
  <c r="AU110" i="4"/>
  <c r="AV110" i="4"/>
  <c r="AD44" i="4"/>
  <c r="AC44" i="4"/>
  <c r="N47" i="4"/>
  <c r="O47" i="4" s="1"/>
  <c r="Z116" i="4"/>
  <c r="H46" i="4"/>
  <c r="V46" i="4"/>
  <c r="AS111" i="4"/>
  <c r="AT111" i="4"/>
  <c r="AG114" i="4"/>
  <c r="AH114" i="4"/>
  <c r="AM112" i="4"/>
  <c r="AN112" i="4"/>
  <c r="N118" i="4"/>
  <c r="R118" i="4" s="1"/>
  <c r="S118" i="4" s="1"/>
  <c r="M119" i="4" s="1"/>
  <c r="Z45" i="4"/>
  <c r="B46" i="4"/>
  <c r="C46" i="4"/>
  <c r="K46" i="4"/>
  <c r="L46" i="4"/>
  <c r="E46" i="4"/>
  <c r="Y46" i="4"/>
  <c r="Z46" i="4" s="1"/>
  <c r="D46" i="4"/>
  <c r="F46" i="4"/>
  <c r="G46" i="4" s="1"/>
  <c r="AD115" i="4"/>
  <c r="AC115" i="4"/>
  <c r="AY109" i="4" l="1"/>
  <c r="AZ109" i="4"/>
  <c r="AW37" i="4"/>
  <c r="AX37" i="4"/>
  <c r="AS39" i="4"/>
  <c r="AT39" i="4"/>
  <c r="AX38" i="4"/>
  <c r="AW38" i="4"/>
  <c r="V47" i="4"/>
  <c r="H47" i="4"/>
  <c r="AA46" i="4"/>
  <c r="AB46" i="4"/>
  <c r="U118" i="4"/>
  <c r="A118" i="4"/>
  <c r="R47" i="4"/>
  <c r="S47" i="4" s="1"/>
  <c r="M48" i="4" s="1"/>
  <c r="AI43" i="4"/>
  <c r="AJ43" i="4"/>
  <c r="AF115" i="4"/>
  <c r="AE115" i="4"/>
  <c r="Q118" i="4"/>
  <c r="I118" i="4" s="1"/>
  <c r="AO112" i="4"/>
  <c r="AP112" i="4"/>
  <c r="AU111" i="4"/>
  <c r="AV111" i="4"/>
  <c r="Q47" i="4"/>
  <c r="I47" i="4" s="1"/>
  <c r="AE44" i="4"/>
  <c r="AF44" i="4"/>
  <c r="AK42" i="4"/>
  <c r="AL42" i="4"/>
  <c r="AO41" i="4"/>
  <c r="AP41" i="4"/>
  <c r="N119" i="4"/>
  <c r="Q119" i="4" s="1"/>
  <c r="I119" i="4" s="1"/>
  <c r="AA45" i="4"/>
  <c r="AB45" i="4"/>
  <c r="O118" i="4"/>
  <c r="W118" i="4" s="1"/>
  <c r="AW110" i="4"/>
  <c r="AX110" i="4"/>
  <c r="Z117" i="4"/>
  <c r="AM113" i="4"/>
  <c r="AN113" i="4"/>
  <c r="AS40" i="4"/>
  <c r="AT40" i="4"/>
  <c r="P118" i="4"/>
  <c r="J118" i="4" s="1"/>
  <c r="AJ114" i="4"/>
  <c r="AI114" i="4"/>
  <c r="AA116" i="4"/>
  <c r="AB116" i="4"/>
  <c r="P47" i="4"/>
  <c r="J47" i="4" s="1"/>
  <c r="A47" i="4"/>
  <c r="W47" i="4"/>
  <c r="U47" i="4"/>
  <c r="AY37" i="4" l="1"/>
  <c r="AZ37" i="4"/>
  <c r="BB109" i="4"/>
  <c r="BA109" i="4"/>
  <c r="AV39" i="4"/>
  <c r="AU39" i="4"/>
  <c r="AY38" i="4"/>
  <c r="AZ38" i="4"/>
  <c r="AP113" i="4"/>
  <c r="AO113" i="4"/>
  <c r="AD116" i="4"/>
  <c r="AC116" i="4"/>
  <c r="AA117" i="4"/>
  <c r="AB117" i="4"/>
  <c r="AD45" i="4"/>
  <c r="AC45" i="4"/>
  <c r="AK43" i="4"/>
  <c r="AL43" i="4"/>
  <c r="AY110" i="4"/>
  <c r="AZ110" i="4"/>
  <c r="R119" i="4"/>
  <c r="S119" i="4" s="1"/>
  <c r="M120" i="4" s="1"/>
  <c r="A119" i="4"/>
  <c r="U119" i="4"/>
  <c r="AX111" i="4"/>
  <c r="AW111" i="4"/>
  <c r="P119" i="4"/>
  <c r="J119" i="4" s="1"/>
  <c r="AQ41" i="4"/>
  <c r="AR41" i="4"/>
  <c r="AN42" i="4"/>
  <c r="AM42" i="4"/>
  <c r="AH44" i="4"/>
  <c r="AG44" i="4"/>
  <c r="N48" i="4"/>
  <c r="Q48" i="4" s="1"/>
  <c r="I48" i="4" s="1"/>
  <c r="AD46" i="4"/>
  <c r="AC46" i="4"/>
  <c r="Y47" i="4"/>
  <c r="E47" i="4"/>
  <c r="K47" i="4"/>
  <c r="C47" i="4"/>
  <c r="D47" i="4"/>
  <c r="B47" i="4"/>
  <c r="F47" i="4"/>
  <c r="G47" i="4" s="1"/>
  <c r="L47" i="4"/>
  <c r="AL114" i="4"/>
  <c r="AK114" i="4"/>
  <c r="AV40" i="4"/>
  <c r="AU40" i="4"/>
  <c r="V118" i="4"/>
  <c r="H118" i="4"/>
  <c r="O119" i="4"/>
  <c r="W119" i="4" s="1"/>
  <c r="AR112" i="4"/>
  <c r="AQ112" i="4"/>
  <c r="AG115" i="4"/>
  <c r="AH115" i="4"/>
  <c r="D118" i="4"/>
  <c r="F118" i="4"/>
  <c r="G118" i="4" s="1"/>
  <c r="B118" i="4"/>
  <c r="C118" i="4"/>
  <c r="K118" i="4"/>
  <c r="E118" i="4"/>
  <c r="L118" i="4"/>
  <c r="Y118" i="4"/>
  <c r="BC109" i="4" l="1"/>
  <c r="BD109" i="4"/>
  <c r="BA37" i="4"/>
  <c r="BB37" i="4"/>
  <c r="AX39" i="4"/>
  <c r="AW39" i="4"/>
  <c r="BB38" i="4"/>
  <c r="BA38" i="4"/>
  <c r="N120" i="4"/>
  <c r="Q120" i="4" s="1"/>
  <c r="I120" i="4" s="1"/>
  <c r="AE45" i="4"/>
  <c r="AF45" i="4"/>
  <c r="AF116" i="4"/>
  <c r="AE116" i="4"/>
  <c r="AN114" i="4"/>
  <c r="AM114" i="4"/>
  <c r="AE46" i="4"/>
  <c r="AF46" i="4"/>
  <c r="P48" i="4"/>
  <c r="J48" i="4" s="1"/>
  <c r="U48" i="4"/>
  <c r="A48" i="4"/>
  <c r="AP42" i="4"/>
  <c r="AO42" i="4"/>
  <c r="AM43" i="4"/>
  <c r="AN43" i="4"/>
  <c r="AD117" i="4"/>
  <c r="AC117" i="4"/>
  <c r="AT112" i="4"/>
  <c r="AS112" i="4"/>
  <c r="Z47" i="4"/>
  <c r="Z118" i="4"/>
  <c r="AI115" i="4"/>
  <c r="AJ115" i="4"/>
  <c r="R48" i="4"/>
  <c r="S48" i="4" s="1"/>
  <c r="M49" i="4" s="1"/>
  <c r="AS41" i="4"/>
  <c r="AT41" i="4"/>
  <c r="AY111" i="4"/>
  <c r="AZ111" i="4"/>
  <c r="BA110" i="4"/>
  <c r="BB110" i="4"/>
  <c r="AQ113" i="4"/>
  <c r="AR113" i="4"/>
  <c r="H119" i="4"/>
  <c r="V119" i="4"/>
  <c r="AX40" i="4"/>
  <c r="AW40" i="4"/>
  <c r="O48" i="4"/>
  <c r="W48" i="4" s="1"/>
  <c r="AJ44" i="4"/>
  <c r="AI44" i="4"/>
  <c r="Y119" i="4"/>
  <c r="E119" i="4"/>
  <c r="F119" i="4"/>
  <c r="G119" i="4" s="1"/>
  <c r="K119" i="4"/>
  <c r="B119" i="4"/>
  <c r="D119" i="4"/>
  <c r="L119" i="4"/>
  <c r="C119" i="4"/>
  <c r="BD37" i="4" l="1"/>
  <c r="BC37" i="4"/>
  <c r="BF109" i="4"/>
  <c r="BE109" i="4"/>
  <c r="AZ39" i="4"/>
  <c r="AY39" i="4"/>
  <c r="BC38" i="4"/>
  <c r="BD38" i="4"/>
  <c r="AY40" i="4"/>
  <c r="AZ40" i="4"/>
  <c r="BA111" i="4"/>
  <c r="BB111" i="4"/>
  <c r="AF117" i="4"/>
  <c r="AE117" i="4"/>
  <c r="Z119" i="4"/>
  <c r="AL44" i="4"/>
  <c r="AK44" i="4"/>
  <c r="AO43" i="4"/>
  <c r="AP43" i="4"/>
  <c r="AH46" i="4"/>
  <c r="AG46" i="4"/>
  <c r="O120" i="4"/>
  <c r="W120" i="4" s="1"/>
  <c r="V48" i="4"/>
  <c r="H48" i="4"/>
  <c r="BC110" i="4"/>
  <c r="BD110" i="4"/>
  <c r="AU41" i="4"/>
  <c r="AV41" i="4"/>
  <c r="AA118" i="4"/>
  <c r="AB118" i="4"/>
  <c r="AV112" i="4"/>
  <c r="AU112" i="4"/>
  <c r="B48" i="4"/>
  <c r="K48" i="4"/>
  <c r="E48" i="4"/>
  <c r="C48" i="4"/>
  <c r="F48" i="4"/>
  <c r="G48" i="4" s="1"/>
  <c r="L48" i="4"/>
  <c r="D48" i="4"/>
  <c r="Y48" i="4"/>
  <c r="AG116" i="4"/>
  <c r="AH116" i="4"/>
  <c r="P120" i="4"/>
  <c r="J120" i="4" s="1"/>
  <c r="AT113" i="4"/>
  <c r="AS113" i="4"/>
  <c r="AK115" i="4"/>
  <c r="AL115" i="4"/>
  <c r="AH45" i="4"/>
  <c r="AG45" i="4"/>
  <c r="N49" i="4"/>
  <c r="P49" i="4" s="1"/>
  <c r="J49" i="4" s="1"/>
  <c r="AA47" i="4"/>
  <c r="AB47" i="4"/>
  <c r="AR42" i="4"/>
  <c r="AQ42" i="4"/>
  <c r="AP114" i="4"/>
  <c r="AO114" i="4"/>
  <c r="R120" i="4"/>
  <c r="S120" i="4" s="1"/>
  <c r="M121" i="4" s="1"/>
  <c r="U120" i="4"/>
  <c r="A120" i="4"/>
  <c r="BG109" i="4" l="1"/>
  <c r="BH109" i="4"/>
  <c r="BE37" i="4"/>
  <c r="BF37" i="4"/>
  <c r="BB39" i="4"/>
  <c r="BA39" i="4"/>
  <c r="BE38" i="4"/>
  <c r="BF38" i="4"/>
  <c r="N121" i="4"/>
  <c r="R121" i="4" s="1"/>
  <c r="S121" i="4" s="1"/>
  <c r="M122" i="4" s="1"/>
  <c r="AS42" i="4"/>
  <c r="AT42" i="4"/>
  <c r="Q49" i="4"/>
  <c r="I49" i="4" s="1"/>
  <c r="AD118" i="4"/>
  <c r="AC118" i="4"/>
  <c r="BE110" i="4"/>
  <c r="BF110" i="4"/>
  <c r="V120" i="4"/>
  <c r="H120" i="4"/>
  <c r="AR43" i="4"/>
  <c r="AQ43" i="4"/>
  <c r="BB40" i="4"/>
  <c r="BA40" i="4"/>
  <c r="AR114" i="4"/>
  <c r="AQ114" i="4"/>
  <c r="B120" i="4"/>
  <c r="C120" i="4"/>
  <c r="F120" i="4"/>
  <c r="G120" i="4" s="1"/>
  <c r="D120" i="4"/>
  <c r="K120" i="4"/>
  <c r="Y120" i="4"/>
  <c r="E120" i="4"/>
  <c r="L120" i="4"/>
  <c r="AD47" i="4"/>
  <c r="AC47" i="4"/>
  <c r="AJ45" i="4"/>
  <c r="AI45" i="4"/>
  <c r="AV113" i="4"/>
  <c r="AU113" i="4"/>
  <c r="Z48" i="4"/>
  <c r="AM44" i="4"/>
  <c r="AN44" i="4"/>
  <c r="AH117" i="4"/>
  <c r="AG117" i="4"/>
  <c r="O49" i="4"/>
  <c r="W49" i="4" s="1"/>
  <c r="A49" i="4"/>
  <c r="U49" i="4"/>
  <c r="AM115" i="4"/>
  <c r="AN115" i="4"/>
  <c r="AW41" i="4"/>
  <c r="AX41" i="4"/>
  <c r="BC111" i="4"/>
  <c r="BD111" i="4"/>
  <c r="R49" i="4"/>
  <c r="S49" i="4" s="1"/>
  <c r="M50" i="4" s="1"/>
  <c r="AI116" i="4"/>
  <c r="AJ116" i="4"/>
  <c r="AX112" i="4"/>
  <c r="AW112" i="4"/>
  <c r="AI46" i="4"/>
  <c r="AJ46" i="4"/>
  <c r="AB119" i="4"/>
  <c r="AA119" i="4"/>
  <c r="BG37" i="4" l="1"/>
  <c r="BH37" i="4"/>
  <c r="BI37" i="4" s="1"/>
  <c r="BI109" i="4"/>
  <c r="X109" i="4" s="1"/>
  <c r="BJ109" i="4"/>
  <c r="BD39" i="4"/>
  <c r="BC39" i="4"/>
  <c r="BH38" i="4"/>
  <c r="BI38" i="4" s="1"/>
  <c r="BG38" i="4"/>
  <c r="N122" i="4"/>
  <c r="AL46" i="4"/>
  <c r="AK46" i="4"/>
  <c r="AC119" i="4"/>
  <c r="AD119" i="4"/>
  <c r="AZ112" i="4"/>
  <c r="AY112" i="4"/>
  <c r="B49" i="4"/>
  <c r="Y49" i="4"/>
  <c r="K49" i="4"/>
  <c r="E49" i="4"/>
  <c r="C49" i="4"/>
  <c r="F49" i="4"/>
  <c r="G49" i="4" s="1"/>
  <c r="D49" i="4"/>
  <c r="L49" i="4"/>
  <c r="AJ117" i="4"/>
  <c r="AI117" i="4"/>
  <c r="Z120" i="4"/>
  <c r="AT43" i="4"/>
  <c r="AS43" i="4"/>
  <c r="AV42" i="4"/>
  <c r="AU42" i="4"/>
  <c r="BF111" i="4"/>
  <c r="BE111" i="4"/>
  <c r="AP44" i="4"/>
  <c r="AO44" i="4"/>
  <c r="AB48" i="4"/>
  <c r="AA48" i="4"/>
  <c r="AW113" i="4"/>
  <c r="AX113" i="4"/>
  <c r="AE47" i="4"/>
  <c r="AF47" i="4"/>
  <c r="BC40" i="4"/>
  <c r="BD40" i="4"/>
  <c r="Q121" i="4"/>
  <c r="I121" i="4" s="1"/>
  <c r="U121" i="4"/>
  <c r="A121" i="4"/>
  <c r="AK116" i="4"/>
  <c r="AL116" i="4"/>
  <c r="V49" i="4"/>
  <c r="H49" i="4"/>
  <c r="AF118" i="4"/>
  <c r="AE118" i="4"/>
  <c r="O121" i="4"/>
  <c r="W121" i="4" s="1"/>
  <c r="AP115" i="4"/>
  <c r="AO115" i="4"/>
  <c r="N50" i="4"/>
  <c r="AZ41" i="4"/>
  <c r="AY41" i="4"/>
  <c r="AL45" i="4"/>
  <c r="AK45" i="4"/>
  <c r="AT114" i="4"/>
  <c r="AS114" i="4"/>
  <c r="BG110" i="4"/>
  <c r="BH110" i="4"/>
  <c r="BI110" i="4" s="1"/>
  <c r="P121" i="4"/>
  <c r="J121" i="4" s="1"/>
  <c r="X37" i="4" l="1"/>
  <c r="AD4" i="8" s="1"/>
  <c r="AD5" i="8" s="1"/>
  <c r="I2" i="8" s="1"/>
  <c r="X38" i="4"/>
  <c r="AE4" i="8" s="1"/>
  <c r="AE5" i="8" s="1"/>
  <c r="X2" i="8" s="1"/>
  <c r="BE39" i="4"/>
  <c r="BF39" i="4"/>
  <c r="X110" i="4"/>
  <c r="AV114" i="4"/>
  <c r="AU114" i="4"/>
  <c r="AH47" i="4"/>
  <c r="AG47" i="4"/>
  <c r="Z49" i="4"/>
  <c r="AF119" i="4"/>
  <c r="AE119" i="4"/>
  <c r="AM46" i="4"/>
  <c r="AN46" i="4"/>
  <c r="O122" i="4"/>
  <c r="W122" i="4" s="1"/>
  <c r="U122" i="4"/>
  <c r="A122" i="4"/>
  <c r="R50" i="4"/>
  <c r="S50" i="4" s="1"/>
  <c r="M51" i="4" s="1"/>
  <c r="U50" i="4"/>
  <c r="A50" i="4"/>
  <c r="P50" i="4"/>
  <c r="J50" i="4" s="1"/>
  <c r="AH118" i="4"/>
  <c r="AG118" i="4"/>
  <c r="AD48" i="4"/>
  <c r="AC48" i="4"/>
  <c r="BG111" i="4"/>
  <c r="BH111" i="4"/>
  <c r="BI111" i="4" s="1"/>
  <c r="AV43" i="4"/>
  <c r="AU43" i="4"/>
  <c r="AK117" i="4"/>
  <c r="AL117" i="4"/>
  <c r="P122" i="4"/>
  <c r="J122" i="4" s="1"/>
  <c r="BA41" i="4"/>
  <c r="BB41" i="4"/>
  <c r="AM116" i="4"/>
  <c r="AN116" i="4"/>
  <c r="AN45" i="4"/>
  <c r="AM45" i="4"/>
  <c r="O50" i="4"/>
  <c r="W50" i="4" s="1"/>
  <c r="AQ115" i="4"/>
  <c r="AR115" i="4"/>
  <c r="K121" i="4"/>
  <c r="C121" i="4"/>
  <c r="D121" i="4"/>
  <c r="L121" i="4"/>
  <c r="B121" i="4"/>
  <c r="F121" i="4"/>
  <c r="G121" i="4" s="1"/>
  <c r="Y121" i="4"/>
  <c r="E121" i="4"/>
  <c r="BF40" i="4"/>
  <c r="BE40" i="4"/>
  <c r="AY113" i="4"/>
  <c r="AZ113" i="4"/>
  <c r="Q122" i="4"/>
  <c r="I122" i="4" s="1"/>
  <c r="Q50" i="4"/>
  <c r="I50" i="4" s="1"/>
  <c r="V121" i="4"/>
  <c r="H121" i="4"/>
  <c r="AR44" i="4"/>
  <c r="AQ44" i="4"/>
  <c r="AX42" i="4"/>
  <c r="AW42" i="4"/>
  <c r="AB120" i="4"/>
  <c r="AA120" i="4"/>
  <c r="BA112" i="4"/>
  <c r="BB112" i="4"/>
  <c r="R122" i="4"/>
  <c r="S122" i="4" s="1"/>
  <c r="M123" i="4" s="1"/>
  <c r="BH39" i="4" l="1"/>
  <c r="BI39" i="4" s="1"/>
  <c r="BG39" i="4"/>
  <c r="X111" i="4"/>
  <c r="BC112" i="4"/>
  <c r="BD112" i="4"/>
  <c r="AY42" i="4"/>
  <c r="AZ42" i="4"/>
  <c r="BA113" i="4"/>
  <c r="BB113" i="4"/>
  <c r="AT115" i="4"/>
  <c r="AS115" i="4"/>
  <c r="AO45" i="4"/>
  <c r="AP45" i="4"/>
  <c r="AI118" i="4"/>
  <c r="AJ118" i="4"/>
  <c r="AW114" i="4"/>
  <c r="AX114" i="4"/>
  <c r="Z121" i="4"/>
  <c r="AO116" i="4"/>
  <c r="AP116" i="4"/>
  <c r="AX43" i="4"/>
  <c r="AW43" i="4"/>
  <c r="AE48" i="4"/>
  <c r="AF48" i="4"/>
  <c r="N51" i="4"/>
  <c r="Q51" i="4" s="1"/>
  <c r="I51" i="4" s="1"/>
  <c r="V122" i="4"/>
  <c r="H122" i="4"/>
  <c r="AG119" i="4"/>
  <c r="AH119" i="4"/>
  <c r="N123" i="4"/>
  <c r="P123" i="4" s="1"/>
  <c r="J123" i="4" s="1"/>
  <c r="AC120" i="4"/>
  <c r="AD120" i="4"/>
  <c r="AS44" i="4"/>
  <c r="AT44" i="4"/>
  <c r="V50" i="4"/>
  <c r="H50" i="4"/>
  <c r="AN117" i="4"/>
  <c r="AM117" i="4"/>
  <c r="AO46" i="4"/>
  <c r="AP46" i="4"/>
  <c r="AI47" i="4"/>
  <c r="AJ47" i="4"/>
  <c r="BH40" i="4"/>
  <c r="BI40" i="4" s="1"/>
  <c r="BG40" i="4"/>
  <c r="BC41" i="4"/>
  <c r="BD41" i="4"/>
  <c r="D50" i="4"/>
  <c r="F50" i="4"/>
  <c r="G50" i="4" s="1"/>
  <c r="Y50" i="4"/>
  <c r="B50" i="4"/>
  <c r="E50" i="4"/>
  <c r="K50" i="4"/>
  <c r="C50" i="4"/>
  <c r="L50" i="4"/>
  <c r="B122" i="4"/>
  <c r="D122" i="4"/>
  <c r="C122" i="4"/>
  <c r="E122" i="4"/>
  <c r="K122" i="4"/>
  <c r="Y122" i="4"/>
  <c r="L122" i="4"/>
  <c r="F122" i="4"/>
  <c r="G122" i="4" s="1"/>
  <c r="AB49" i="4"/>
  <c r="AA49" i="4"/>
  <c r="X39" i="4" l="1"/>
  <c r="AD17" i="8" s="1"/>
  <c r="AD18" i="8" s="1"/>
  <c r="I15" i="8" s="1"/>
  <c r="X40" i="4"/>
  <c r="BF41" i="4"/>
  <c r="BE41" i="4"/>
  <c r="Z50" i="4"/>
  <c r="AK47" i="4"/>
  <c r="AL47" i="4"/>
  <c r="AU44" i="4"/>
  <c r="AV44" i="4"/>
  <c r="Q123" i="4"/>
  <c r="I123" i="4" s="1"/>
  <c r="AI119" i="4"/>
  <c r="AJ119" i="4"/>
  <c r="P51" i="4"/>
  <c r="J51" i="4" s="1"/>
  <c r="AH48" i="4"/>
  <c r="AG48" i="4"/>
  <c r="AR116" i="4"/>
  <c r="AQ116" i="4"/>
  <c r="AY114" i="4"/>
  <c r="AZ114" i="4"/>
  <c r="AV115" i="4"/>
  <c r="AU115" i="4"/>
  <c r="Z122" i="4"/>
  <c r="AO117" i="4"/>
  <c r="AP117" i="4"/>
  <c r="R123" i="4"/>
  <c r="S123" i="4" s="1"/>
  <c r="M124" i="4" s="1"/>
  <c r="O51" i="4"/>
  <c r="W51" i="4" s="1"/>
  <c r="AR45" i="4"/>
  <c r="AQ45" i="4"/>
  <c r="BC113" i="4"/>
  <c r="BD113" i="4"/>
  <c r="BF112" i="4"/>
  <c r="BE112" i="4"/>
  <c r="AC49" i="4"/>
  <c r="AD49" i="4"/>
  <c r="AR46" i="4"/>
  <c r="AQ46" i="4"/>
  <c r="AE120" i="4"/>
  <c r="AF120" i="4"/>
  <c r="AL118" i="4"/>
  <c r="AK118" i="4"/>
  <c r="O123" i="4"/>
  <c r="W123" i="4" s="1"/>
  <c r="A123" i="4"/>
  <c r="U123" i="4"/>
  <c r="R51" i="4"/>
  <c r="S51" i="4" s="1"/>
  <c r="M52" i="4" s="1"/>
  <c r="A51" i="4"/>
  <c r="U51" i="4"/>
  <c r="AY43" i="4"/>
  <c r="AZ43" i="4"/>
  <c r="AB121" i="4"/>
  <c r="AA121" i="4"/>
  <c r="BA42" i="4"/>
  <c r="BB42" i="4"/>
  <c r="V123" i="4" l="1"/>
  <c r="H123" i="4"/>
  <c r="BF113" i="4"/>
  <c r="BE113" i="4"/>
  <c r="V51" i="4"/>
  <c r="H51" i="4"/>
  <c r="AW115" i="4"/>
  <c r="AX115" i="4"/>
  <c r="AT116" i="4"/>
  <c r="AS116" i="4"/>
  <c r="AL119" i="4"/>
  <c r="AK119" i="4"/>
  <c r="AA50" i="4"/>
  <c r="AB50" i="4"/>
  <c r="N124" i="4"/>
  <c r="BA114" i="4"/>
  <c r="BB114" i="4"/>
  <c r="AN47" i="4"/>
  <c r="AM47" i="4"/>
  <c r="N52" i="4"/>
  <c r="O52" i="4" s="1"/>
  <c r="BC42" i="4"/>
  <c r="BD42" i="4"/>
  <c r="AC121" i="4"/>
  <c r="AD121" i="4"/>
  <c r="AN118" i="4"/>
  <c r="AM118" i="4"/>
  <c r="AT46" i="4"/>
  <c r="AS46" i="4"/>
  <c r="AR117" i="4"/>
  <c r="AQ117" i="4"/>
  <c r="AB122" i="4"/>
  <c r="AA122" i="4"/>
  <c r="AI48" i="4"/>
  <c r="AJ48" i="4"/>
  <c r="BG41" i="4"/>
  <c r="BH41" i="4"/>
  <c r="BI41" i="4" s="1"/>
  <c r="BA43" i="4"/>
  <c r="BB43" i="4"/>
  <c r="C51" i="4"/>
  <c r="L51" i="4"/>
  <c r="B51" i="4"/>
  <c r="E51" i="4"/>
  <c r="K51" i="4"/>
  <c r="Y51" i="4"/>
  <c r="D51" i="4"/>
  <c r="F51" i="4"/>
  <c r="G51" i="4" s="1"/>
  <c r="Y123" i="4"/>
  <c r="Z123" i="4" s="1"/>
  <c r="K123" i="4"/>
  <c r="B123" i="4"/>
  <c r="D123" i="4"/>
  <c r="C123" i="4"/>
  <c r="F123" i="4"/>
  <c r="G123" i="4" s="1"/>
  <c r="E123" i="4"/>
  <c r="L123" i="4"/>
  <c r="AG120" i="4"/>
  <c r="AH120" i="4"/>
  <c r="AF49" i="4"/>
  <c r="AE49" i="4"/>
  <c r="BH112" i="4"/>
  <c r="BI112" i="4" s="1"/>
  <c r="BG112" i="4"/>
  <c r="AS45" i="4"/>
  <c r="AT45" i="4"/>
  <c r="AW44" i="4"/>
  <c r="AX44" i="4"/>
  <c r="X112" i="4" l="1"/>
  <c r="X41" i="4"/>
  <c r="R52" i="4"/>
  <c r="S52" i="4" s="1"/>
  <c r="M53" i="4" s="1"/>
  <c r="N53" i="4" s="1"/>
  <c r="O53" i="4" s="1"/>
  <c r="AH49" i="4"/>
  <c r="AG49" i="4"/>
  <c r="AS117" i="4"/>
  <c r="AT117" i="4"/>
  <c r="AP118" i="4"/>
  <c r="AO118" i="4"/>
  <c r="V52" i="4"/>
  <c r="H52" i="4"/>
  <c r="BC114" i="4"/>
  <c r="BD114" i="4"/>
  <c r="Q124" i="4"/>
  <c r="I124" i="4" s="1"/>
  <c r="U124" i="4"/>
  <c r="A124" i="4"/>
  <c r="AE121" i="4"/>
  <c r="AF121" i="4"/>
  <c r="W52" i="4"/>
  <c r="A52" i="4"/>
  <c r="U52" i="4"/>
  <c r="R124" i="4"/>
  <c r="S124" i="4" s="1"/>
  <c r="M125" i="4" s="1"/>
  <c r="AU116" i="4"/>
  <c r="AV116" i="4"/>
  <c r="AB123" i="4"/>
  <c r="AA123" i="4"/>
  <c r="AD122" i="4"/>
  <c r="AC122" i="4"/>
  <c r="AV46" i="4"/>
  <c r="AU46" i="4"/>
  <c r="Q52" i="4"/>
  <c r="I52" i="4" s="1"/>
  <c r="O124" i="4"/>
  <c r="W124" i="4" s="1"/>
  <c r="AZ115" i="4"/>
  <c r="AY115" i="4"/>
  <c r="AY44" i="4"/>
  <c r="AZ44" i="4"/>
  <c r="AI120" i="4"/>
  <c r="AJ120" i="4"/>
  <c r="Z51" i="4"/>
  <c r="AV45" i="4"/>
  <c r="AU45" i="4"/>
  <c r="BC43" i="4"/>
  <c r="BD43" i="4"/>
  <c r="AL48" i="4"/>
  <c r="AK48" i="4"/>
  <c r="BE42" i="4"/>
  <c r="BF42" i="4"/>
  <c r="P52" i="4"/>
  <c r="J52" i="4" s="1"/>
  <c r="AO47" i="4"/>
  <c r="AP47" i="4"/>
  <c r="P124" i="4"/>
  <c r="J124" i="4" s="1"/>
  <c r="AC50" i="4"/>
  <c r="AD50" i="4"/>
  <c r="AN119" i="4"/>
  <c r="AM119" i="4"/>
  <c r="BH113" i="4"/>
  <c r="BI113" i="4" s="1"/>
  <c r="BG113" i="4"/>
  <c r="X113" i="4" l="1"/>
  <c r="V53" i="4"/>
  <c r="H53" i="4"/>
  <c r="BG42" i="4"/>
  <c r="BH42" i="4"/>
  <c r="BI42" i="4" s="1"/>
  <c r="AN48" i="4"/>
  <c r="AM48" i="4"/>
  <c r="AW45" i="4"/>
  <c r="AX45" i="4"/>
  <c r="BB115" i="4"/>
  <c r="BA115" i="4"/>
  <c r="N125" i="4"/>
  <c r="R125" i="4" s="1"/>
  <c r="S125" i="4" s="1"/>
  <c r="M126" i="4" s="1"/>
  <c r="Q53" i="4"/>
  <c r="I53" i="4" s="1"/>
  <c r="AH121" i="4"/>
  <c r="AG121" i="4"/>
  <c r="L124" i="4"/>
  <c r="Y124" i="4"/>
  <c r="D124" i="4"/>
  <c r="E124" i="4"/>
  <c r="F124" i="4"/>
  <c r="G124" i="4" s="1"/>
  <c r="C124" i="4"/>
  <c r="K124" i="4"/>
  <c r="B124" i="4"/>
  <c r="BE114" i="4"/>
  <c r="BF114" i="4"/>
  <c r="AR47" i="4"/>
  <c r="AQ47" i="4"/>
  <c r="BF43" i="4"/>
  <c r="BE43" i="4"/>
  <c r="BB44" i="4"/>
  <c r="BA44" i="4"/>
  <c r="V124" i="4"/>
  <c r="H124" i="4"/>
  <c r="AX46" i="4"/>
  <c r="AW46" i="4"/>
  <c r="AC123" i="4"/>
  <c r="AD123" i="4"/>
  <c r="P53" i="4"/>
  <c r="J53" i="4" s="1"/>
  <c r="AQ118" i="4"/>
  <c r="AR118" i="4"/>
  <c r="AI49" i="4"/>
  <c r="AJ49" i="4"/>
  <c r="AO119" i="4"/>
  <c r="AP119" i="4"/>
  <c r="AF50" i="4"/>
  <c r="AE50" i="4"/>
  <c r="AA51" i="4"/>
  <c r="AB51" i="4"/>
  <c r="AX116" i="4"/>
  <c r="AW116" i="4"/>
  <c r="D52" i="4"/>
  <c r="F52" i="4"/>
  <c r="G52" i="4" s="1"/>
  <c r="L52" i="4"/>
  <c r="Y52" i="4"/>
  <c r="C52" i="4"/>
  <c r="K52" i="4"/>
  <c r="E52" i="4"/>
  <c r="B52" i="4"/>
  <c r="AU117" i="4"/>
  <c r="AV117" i="4"/>
  <c r="AK120" i="4"/>
  <c r="AL120" i="4"/>
  <c r="AE122" i="4"/>
  <c r="AF122" i="4"/>
  <c r="R53" i="4"/>
  <c r="S53" i="4" s="1"/>
  <c r="M54" i="4" s="1"/>
  <c r="A53" i="4"/>
  <c r="W53" i="4"/>
  <c r="U53" i="4"/>
  <c r="X42" i="4" l="1"/>
  <c r="N126" i="4"/>
  <c r="P126" i="4" s="1"/>
  <c r="J126" i="4" s="1"/>
  <c r="E53" i="4"/>
  <c r="L53" i="4"/>
  <c r="D53" i="4"/>
  <c r="F53" i="4"/>
  <c r="G53" i="4" s="1"/>
  <c r="Y53" i="4"/>
  <c r="K53" i="4"/>
  <c r="C53" i="4"/>
  <c r="B53" i="4"/>
  <c r="AN120" i="4"/>
  <c r="AM120" i="4"/>
  <c r="Z52" i="4"/>
  <c r="AL49" i="4"/>
  <c r="AK49" i="4"/>
  <c r="AZ46" i="4"/>
  <c r="AY46" i="4"/>
  <c r="BC44" i="4"/>
  <c r="BD44" i="4"/>
  <c r="AT47" i="4"/>
  <c r="AS47" i="4"/>
  <c r="AJ121" i="4"/>
  <c r="AI121" i="4"/>
  <c r="AY45" i="4"/>
  <c r="AZ45" i="4"/>
  <c r="N54" i="4"/>
  <c r="AZ116" i="4"/>
  <c r="AY116" i="4"/>
  <c r="AG50" i="4"/>
  <c r="AH50" i="4"/>
  <c r="AE123" i="4"/>
  <c r="AF123" i="4"/>
  <c r="BH114" i="4"/>
  <c r="BI114" i="4" s="1"/>
  <c r="BG114" i="4"/>
  <c r="Z124" i="4"/>
  <c r="P125" i="4"/>
  <c r="J125" i="4" s="1"/>
  <c r="A125" i="4"/>
  <c r="U125" i="4"/>
  <c r="AX117" i="4"/>
  <c r="AW117" i="4"/>
  <c r="AC51" i="4"/>
  <c r="AD51" i="4"/>
  <c r="AQ119" i="4"/>
  <c r="AR119" i="4"/>
  <c r="AT118" i="4"/>
  <c r="AS118" i="4"/>
  <c r="BH43" i="4"/>
  <c r="BI43" i="4" s="1"/>
  <c r="BG43" i="4"/>
  <c r="O125" i="4"/>
  <c r="W125" i="4" s="1"/>
  <c r="AG122" i="4"/>
  <c r="AH122" i="4"/>
  <c r="Q125" i="4"/>
  <c r="I125" i="4" s="1"/>
  <c r="BD115" i="4"/>
  <c r="BC115" i="4"/>
  <c r="AO48" i="4"/>
  <c r="AP48" i="4"/>
  <c r="X43" i="4" l="1"/>
  <c r="X114" i="4"/>
  <c r="V125" i="4"/>
  <c r="H125" i="4"/>
  <c r="AV118" i="4"/>
  <c r="AU118" i="4"/>
  <c r="AA124" i="4"/>
  <c r="AB124" i="4"/>
  <c r="BA116" i="4"/>
  <c r="BB116" i="4"/>
  <c r="Q54" i="4"/>
  <c r="I54" i="4" s="1"/>
  <c r="U54" i="4"/>
  <c r="A54" i="4"/>
  <c r="AK121" i="4"/>
  <c r="AL121" i="4"/>
  <c r="AM49" i="4"/>
  <c r="AN49" i="4"/>
  <c r="AO120" i="4"/>
  <c r="AP120" i="4"/>
  <c r="Z53" i="4"/>
  <c r="O126" i="4"/>
  <c r="W126" i="4" s="1"/>
  <c r="AQ48" i="4"/>
  <c r="AR48" i="4"/>
  <c r="AS119" i="4"/>
  <c r="AT119" i="4"/>
  <c r="C125" i="4"/>
  <c r="E125" i="4"/>
  <c r="F125" i="4"/>
  <c r="G125" i="4" s="1"/>
  <c r="Y125" i="4"/>
  <c r="K125" i="4"/>
  <c r="B125" i="4"/>
  <c r="L125" i="4"/>
  <c r="D125" i="4"/>
  <c r="AJ50" i="4"/>
  <c r="AI50" i="4"/>
  <c r="P54" i="4"/>
  <c r="J54" i="4" s="1"/>
  <c r="BB45" i="4"/>
  <c r="BA45" i="4"/>
  <c r="R126" i="4"/>
  <c r="S126" i="4" s="1"/>
  <c r="M127" i="4" s="1"/>
  <c r="BF115" i="4"/>
  <c r="BE115" i="4"/>
  <c r="AJ122" i="4"/>
  <c r="AI122" i="4"/>
  <c r="AY117" i="4"/>
  <c r="AZ117" i="4"/>
  <c r="O54" i="4"/>
  <c r="W54" i="4" s="1"/>
  <c r="AV47" i="4"/>
  <c r="AU47" i="4"/>
  <c r="BA46" i="4"/>
  <c r="BB46" i="4"/>
  <c r="AB52" i="4"/>
  <c r="AA52" i="4"/>
  <c r="AF51" i="4"/>
  <c r="AE51" i="4"/>
  <c r="AH123" i="4"/>
  <c r="AG123" i="4"/>
  <c r="R54" i="4"/>
  <c r="S54" i="4" s="1"/>
  <c r="M55" i="4" s="1"/>
  <c r="BF44" i="4"/>
  <c r="BE44" i="4"/>
  <c r="Q126" i="4"/>
  <c r="I126" i="4" s="1"/>
  <c r="U126" i="4"/>
  <c r="A126" i="4"/>
  <c r="F126" i="4" l="1"/>
  <c r="G126" i="4" s="1"/>
  <c r="C126" i="4"/>
  <c r="Y126" i="4"/>
  <c r="E126" i="4"/>
  <c r="L126" i="4"/>
  <c r="B126" i="4"/>
  <c r="K126" i="4"/>
  <c r="D126" i="4"/>
  <c r="AC52" i="4"/>
  <c r="AD52" i="4"/>
  <c r="BG44" i="4"/>
  <c r="BH44" i="4"/>
  <c r="BI44" i="4" s="1"/>
  <c r="BC46" i="4"/>
  <c r="BD46" i="4"/>
  <c r="H54" i="4"/>
  <c r="V54" i="4"/>
  <c r="AL122" i="4"/>
  <c r="AK122" i="4"/>
  <c r="AL50" i="4"/>
  <c r="AK50" i="4"/>
  <c r="AR120" i="4"/>
  <c r="AQ120" i="4"/>
  <c r="AM121" i="4"/>
  <c r="AN121" i="4"/>
  <c r="AC124" i="4"/>
  <c r="AD124" i="4"/>
  <c r="AG51" i="4"/>
  <c r="AH51" i="4"/>
  <c r="BA117" i="4"/>
  <c r="BB117" i="4"/>
  <c r="BD45" i="4"/>
  <c r="BC45" i="4"/>
  <c r="Z125" i="4"/>
  <c r="AU119" i="4"/>
  <c r="AV119" i="4"/>
  <c r="H126" i="4"/>
  <c r="V126" i="4"/>
  <c r="BG115" i="4"/>
  <c r="BH115" i="4"/>
  <c r="BI115" i="4" s="1"/>
  <c r="AO49" i="4"/>
  <c r="AP49" i="4"/>
  <c r="K54" i="4"/>
  <c r="Y54" i="4"/>
  <c r="C54" i="4"/>
  <c r="F54" i="4"/>
  <c r="G54" i="4" s="1"/>
  <c r="D54" i="4"/>
  <c r="B54" i="4"/>
  <c r="E54" i="4"/>
  <c r="L54" i="4"/>
  <c r="BC116" i="4"/>
  <c r="BD116" i="4"/>
  <c r="N55" i="4"/>
  <c r="O55" i="4" s="1"/>
  <c r="AJ123" i="4"/>
  <c r="AI123" i="4"/>
  <c r="AW47" i="4"/>
  <c r="AX47" i="4"/>
  <c r="N127" i="4"/>
  <c r="AT48" i="4"/>
  <c r="AS48" i="4"/>
  <c r="AB53" i="4"/>
  <c r="AA53" i="4"/>
  <c r="AW118" i="4"/>
  <c r="AX118" i="4"/>
  <c r="X44" i="4" l="1"/>
  <c r="X115" i="4"/>
  <c r="V55" i="4"/>
  <c r="H55" i="4"/>
  <c r="Q127" i="4"/>
  <c r="I127" i="4" s="1"/>
  <c r="A127" i="4"/>
  <c r="U127" i="4"/>
  <c r="AD53" i="4"/>
  <c r="AC53" i="4"/>
  <c r="P127" i="4"/>
  <c r="J127" i="4" s="1"/>
  <c r="R55" i="4"/>
  <c r="S55" i="4" s="1"/>
  <c r="M56" i="4" s="1"/>
  <c r="BE116" i="4"/>
  <c r="BF116" i="4"/>
  <c r="Z54" i="4"/>
  <c r="BC117" i="4"/>
  <c r="BD117" i="4"/>
  <c r="AE124" i="4"/>
  <c r="AF124" i="4"/>
  <c r="BE46" i="4"/>
  <c r="BF46" i="4"/>
  <c r="AF52" i="4"/>
  <c r="AE52" i="4"/>
  <c r="AZ118" i="4"/>
  <c r="AY118" i="4"/>
  <c r="R127" i="4"/>
  <c r="S127" i="4" s="1"/>
  <c r="M128" i="4" s="1"/>
  <c r="AA125" i="4"/>
  <c r="AB125" i="4"/>
  <c r="AT120" i="4"/>
  <c r="AS120" i="4"/>
  <c r="AM122" i="4"/>
  <c r="AN122" i="4"/>
  <c r="Q55" i="4"/>
  <c r="I55" i="4" s="1"/>
  <c r="U55" i="4"/>
  <c r="W55" i="4"/>
  <c r="A55" i="4"/>
  <c r="AR49" i="4"/>
  <c r="AQ49" i="4"/>
  <c r="AX119" i="4"/>
  <c r="AW119" i="4"/>
  <c r="AI51" i="4"/>
  <c r="AJ51" i="4"/>
  <c r="AP121" i="4"/>
  <c r="AO121" i="4"/>
  <c r="AU48" i="4"/>
  <c r="AV48" i="4"/>
  <c r="AK123" i="4"/>
  <c r="AL123" i="4"/>
  <c r="O127" i="4"/>
  <c r="W127" i="4" s="1"/>
  <c r="AY47" i="4"/>
  <c r="AZ47" i="4"/>
  <c r="P55" i="4"/>
  <c r="J55" i="4" s="1"/>
  <c r="BF45" i="4"/>
  <c r="BE45" i="4"/>
  <c r="AN50" i="4"/>
  <c r="AM50" i="4"/>
  <c r="Z126" i="4"/>
  <c r="AO50" i="4" l="1"/>
  <c r="AP50" i="4"/>
  <c r="AW48" i="4"/>
  <c r="AX48" i="4"/>
  <c r="AK51" i="4"/>
  <c r="AL51" i="4"/>
  <c r="N128" i="4"/>
  <c r="R128" i="4" s="1"/>
  <c r="S128" i="4" s="1"/>
  <c r="M129" i="4" s="1"/>
  <c r="AG52" i="4"/>
  <c r="AH52" i="4"/>
  <c r="AB54" i="4"/>
  <c r="AA54" i="4"/>
  <c r="AB126" i="4"/>
  <c r="AA126" i="4"/>
  <c r="BG45" i="4"/>
  <c r="BH45" i="4"/>
  <c r="BI45" i="4" s="1"/>
  <c r="H127" i="4"/>
  <c r="V127" i="4"/>
  <c r="AS49" i="4"/>
  <c r="AT49" i="4"/>
  <c r="AU120" i="4"/>
  <c r="AV120" i="4"/>
  <c r="BG46" i="4"/>
  <c r="BH46" i="4"/>
  <c r="BI46" i="4" s="1"/>
  <c r="BE117" i="4"/>
  <c r="BF117" i="4"/>
  <c r="BG116" i="4"/>
  <c r="BH116" i="4"/>
  <c r="BI116" i="4" s="1"/>
  <c r="AM123" i="4"/>
  <c r="AN123" i="4"/>
  <c r="B55" i="4"/>
  <c r="C55" i="4"/>
  <c r="E55" i="4"/>
  <c r="K55" i="4"/>
  <c r="L55" i="4"/>
  <c r="D55" i="4"/>
  <c r="Y55" i="4"/>
  <c r="Z55" i="4" s="1"/>
  <c r="F55" i="4"/>
  <c r="G55" i="4" s="1"/>
  <c r="AP122" i="4"/>
  <c r="AO122" i="4"/>
  <c r="AC125" i="4"/>
  <c r="AD125" i="4"/>
  <c r="BB118" i="4"/>
  <c r="BA118" i="4"/>
  <c r="AF53" i="4"/>
  <c r="AE53" i="4"/>
  <c r="E127" i="4"/>
  <c r="B127" i="4"/>
  <c r="Y127" i="4"/>
  <c r="D127" i="4"/>
  <c r="K127" i="4"/>
  <c r="C127" i="4"/>
  <c r="F127" i="4"/>
  <c r="G127" i="4" s="1"/>
  <c r="L127" i="4"/>
  <c r="BB47" i="4"/>
  <c r="BA47" i="4"/>
  <c r="AR121" i="4"/>
  <c r="AQ121" i="4"/>
  <c r="AY119" i="4"/>
  <c r="AZ119" i="4"/>
  <c r="AG124" i="4"/>
  <c r="AH124" i="4"/>
  <c r="N56" i="4"/>
  <c r="O56" i="4" s="1"/>
  <c r="X116" i="4" l="1"/>
  <c r="X46" i="4"/>
  <c r="X45" i="4"/>
  <c r="H56" i="4"/>
  <c r="V56" i="4"/>
  <c r="N129" i="4"/>
  <c r="P56" i="4"/>
  <c r="J56" i="4" s="1"/>
  <c r="BC47" i="4"/>
  <c r="BD47" i="4"/>
  <c r="BD118" i="4"/>
  <c r="BC118" i="4"/>
  <c r="AQ122" i="4"/>
  <c r="AR122" i="4"/>
  <c r="AD54" i="4"/>
  <c r="AC54" i="4"/>
  <c r="AF125" i="4"/>
  <c r="AE125" i="4"/>
  <c r="AP123" i="4"/>
  <c r="AO123" i="4"/>
  <c r="BH117" i="4"/>
  <c r="BI117" i="4" s="1"/>
  <c r="BG117" i="4"/>
  <c r="AX120" i="4"/>
  <c r="AW120" i="4"/>
  <c r="AI52" i="4"/>
  <c r="AJ52" i="4"/>
  <c r="P128" i="4"/>
  <c r="J128" i="4" s="1"/>
  <c r="A128" i="4"/>
  <c r="U128" i="4"/>
  <c r="AY48" i="4"/>
  <c r="AZ48" i="4"/>
  <c r="Z127" i="4"/>
  <c r="AH53" i="4"/>
  <c r="AG53" i="4"/>
  <c r="AB55" i="4"/>
  <c r="AA55" i="4"/>
  <c r="AD126" i="4"/>
  <c r="AC126" i="4"/>
  <c r="O128" i="4"/>
  <c r="W128" i="4" s="1"/>
  <c r="Q56" i="4"/>
  <c r="I56" i="4" s="1"/>
  <c r="A56" i="4"/>
  <c r="W56" i="4"/>
  <c r="U56" i="4"/>
  <c r="AT121" i="4"/>
  <c r="AS121" i="4"/>
  <c r="R56" i="4"/>
  <c r="S56" i="4" s="1"/>
  <c r="M57" i="4" s="1"/>
  <c r="AJ124" i="4"/>
  <c r="AI124" i="4"/>
  <c r="BA119" i="4"/>
  <c r="BB119" i="4"/>
  <c r="AU49" i="4"/>
  <c r="AV49" i="4"/>
  <c r="Q128" i="4"/>
  <c r="I128" i="4" s="1"/>
  <c r="AM51" i="4"/>
  <c r="AN51" i="4"/>
  <c r="AR50" i="4"/>
  <c r="AQ50" i="4"/>
  <c r="X117" i="4" l="1"/>
  <c r="AS50" i="4"/>
  <c r="AT50" i="4"/>
  <c r="AE126" i="4"/>
  <c r="AF126" i="4"/>
  <c r="O129" i="4"/>
  <c r="W129" i="4" s="1"/>
  <c r="U129" i="4"/>
  <c r="A129" i="4"/>
  <c r="E56" i="4"/>
  <c r="F56" i="4"/>
  <c r="G56" i="4" s="1"/>
  <c r="B56" i="4"/>
  <c r="C56" i="4"/>
  <c r="Y56" i="4"/>
  <c r="L56" i="4"/>
  <c r="K56" i="4"/>
  <c r="D56" i="4"/>
  <c r="AP51" i="4"/>
  <c r="AO51" i="4"/>
  <c r="AW49" i="4"/>
  <c r="AX49" i="4"/>
  <c r="AV121" i="4"/>
  <c r="AU121" i="4"/>
  <c r="AL52" i="4"/>
  <c r="AK52" i="4"/>
  <c r="AY120" i="4"/>
  <c r="AZ120" i="4"/>
  <c r="AQ123" i="4"/>
  <c r="AR123" i="4"/>
  <c r="AF54" i="4"/>
  <c r="AE54" i="4"/>
  <c r="BF118" i="4"/>
  <c r="BE118" i="4"/>
  <c r="R129" i="4"/>
  <c r="S129" i="4" s="1"/>
  <c r="M130" i="4" s="1"/>
  <c r="AJ53" i="4"/>
  <c r="AI53" i="4"/>
  <c r="AL124" i="4"/>
  <c r="AK124" i="4"/>
  <c r="H128" i="4"/>
  <c r="V128" i="4"/>
  <c r="AC55" i="4"/>
  <c r="AD55" i="4"/>
  <c r="AB127" i="4"/>
  <c r="AA127" i="4"/>
  <c r="AT122" i="4"/>
  <c r="AS122" i="4"/>
  <c r="BF47" i="4"/>
  <c r="BE47" i="4"/>
  <c r="Q129" i="4"/>
  <c r="I129" i="4" s="1"/>
  <c r="BC119" i="4"/>
  <c r="BD119" i="4"/>
  <c r="N57" i="4"/>
  <c r="O57" i="4" s="1"/>
  <c r="BA48" i="4"/>
  <c r="BB48" i="4"/>
  <c r="D128" i="4"/>
  <c r="C128" i="4"/>
  <c r="B128" i="4"/>
  <c r="F128" i="4"/>
  <c r="G128" i="4" s="1"/>
  <c r="L128" i="4"/>
  <c r="K128" i="4"/>
  <c r="Y128" i="4"/>
  <c r="E128" i="4"/>
  <c r="AH125" i="4"/>
  <c r="AG125" i="4"/>
  <c r="P129" i="4"/>
  <c r="J129" i="4" s="1"/>
  <c r="V57" i="4" l="1"/>
  <c r="H57" i="4"/>
  <c r="Z128" i="4"/>
  <c r="R57" i="4"/>
  <c r="S57" i="4" s="1"/>
  <c r="M58" i="4" s="1"/>
  <c r="AJ125" i="4"/>
  <c r="AI125" i="4"/>
  <c r="P57" i="4"/>
  <c r="J57" i="4" s="1"/>
  <c r="BG118" i="4"/>
  <c r="BH118" i="4"/>
  <c r="BI118" i="4" s="1"/>
  <c r="AN52" i="4"/>
  <c r="AM52" i="4"/>
  <c r="BD48" i="4"/>
  <c r="BC48" i="4"/>
  <c r="AU122" i="4"/>
  <c r="AV122" i="4"/>
  <c r="AD127" i="4"/>
  <c r="AC127" i="4"/>
  <c r="AK53" i="4"/>
  <c r="AL53" i="4"/>
  <c r="BB120" i="4"/>
  <c r="BA120" i="4"/>
  <c r="AV50" i="4"/>
  <c r="AU50" i="4"/>
  <c r="Q57" i="4"/>
  <c r="I57" i="4" s="1"/>
  <c r="U57" i="4"/>
  <c r="W57" i="4"/>
  <c r="A57" i="4"/>
  <c r="AE55" i="4"/>
  <c r="AF55" i="4"/>
  <c r="N130" i="4"/>
  <c r="O130" i="4" s="1"/>
  <c r="AG54" i="4"/>
  <c r="AH54" i="4"/>
  <c r="AX121" i="4"/>
  <c r="AW121" i="4"/>
  <c r="AQ51" i="4"/>
  <c r="AR51" i="4"/>
  <c r="Z56" i="4"/>
  <c r="V129" i="4"/>
  <c r="H129" i="4"/>
  <c r="BF119" i="4"/>
  <c r="BE119" i="4"/>
  <c r="BG47" i="4"/>
  <c r="BH47" i="4"/>
  <c r="BI47" i="4" s="1"/>
  <c r="AM124" i="4"/>
  <c r="AN124" i="4"/>
  <c r="AS123" i="4"/>
  <c r="AT123" i="4"/>
  <c r="AY49" i="4"/>
  <c r="AZ49" i="4"/>
  <c r="K129" i="4"/>
  <c r="C129" i="4"/>
  <c r="D129" i="4"/>
  <c r="L129" i="4"/>
  <c r="F129" i="4"/>
  <c r="G129" i="4" s="1"/>
  <c r="B129" i="4"/>
  <c r="Y129" i="4"/>
  <c r="E129" i="4"/>
  <c r="AG126" i="4"/>
  <c r="AH126" i="4"/>
  <c r="X118" i="4" l="1"/>
  <c r="X47" i="4"/>
  <c r="H130" i="4"/>
  <c r="V130" i="4"/>
  <c r="AI126" i="4"/>
  <c r="AJ126" i="4"/>
  <c r="AU123" i="4"/>
  <c r="AV123" i="4"/>
  <c r="AS51" i="4"/>
  <c r="AT51" i="4"/>
  <c r="AI54" i="4"/>
  <c r="AJ54" i="4"/>
  <c r="C57" i="4"/>
  <c r="F57" i="4"/>
  <c r="G57" i="4" s="1"/>
  <c r="K57" i="4"/>
  <c r="D57" i="4"/>
  <c r="L57" i="4"/>
  <c r="B57" i="4"/>
  <c r="Y57" i="4"/>
  <c r="E57" i="4"/>
  <c r="AF127" i="4"/>
  <c r="AE127" i="4"/>
  <c r="BF48" i="4"/>
  <c r="BE48" i="4"/>
  <c r="AL125" i="4"/>
  <c r="AK125" i="4"/>
  <c r="P130" i="4"/>
  <c r="J130" i="4" s="1"/>
  <c r="A130" i="4"/>
  <c r="U130" i="4"/>
  <c r="W130" i="4"/>
  <c r="AW50" i="4"/>
  <c r="AX50" i="4"/>
  <c r="AN53" i="4"/>
  <c r="AM53" i="4"/>
  <c r="AX122" i="4"/>
  <c r="AW122" i="4"/>
  <c r="N58" i="4"/>
  <c r="P58" i="4" s="1"/>
  <c r="J58" i="4" s="1"/>
  <c r="BA49" i="4"/>
  <c r="BB49" i="4"/>
  <c r="AP124" i="4"/>
  <c r="AO124" i="4"/>
  <c r="R130" i="4"/>
  <c r="S130" i="4" s="1"/>
  <c r="M131" i="4" s="1"/>
  <c r="AG55" i="4"/>
  <c r="AH55" i="4"/>
  <c r="AP52" i="4"/>
  <c r="AO52" i="4"/>
  <c r="Z129" i="4"/>
  <c r="BH119" i="4"/>
  <c r="BI119" i="4" s="1"/>
  <c r="BG119" i="4"/>
  <c r="AB56" i="4"/>
  <c r="AA56" i="4"/>
  <c r="AY121" i="4"/>
  <c r="AZ121" i="4"/>
  <c r="Q130" i="4"/>
  <c r="I130" i="4" s="1"/>
  <c r="BC120" i="4"/>
  <c r="BD120" i="4"/>
  <c r="AB128" i="4"/>
  <c r="AA128" i="4"/>
  <c r="X119" i="4" l="1"/>
  <c r="N131" i="4"/>
  <c r="O131" i="4" s="1"/>
  <c r="BF120" i="4"/>
  <c r="BE120" i="4"/>
  <c r="AR52" i="4"/>
  <c r="AQ52" i="4"/>
  <c r="Q58" i="4"/>
  <c r="I58" i="4" s="1"/>
  <c r="AO53" i="4"/>
  <c r="AP53" i="4"/>
  <c r="AM125" i="4"/>
  <c r="AN125" i="4"/>
  <c r="AG127" i="4"/>
  <c r="AH127" i="4"/>
  <c r="AC128" i="4"/>
  <c r="AD128" i="4"/>
  <c r="AI55" i="4"/>
  <c r="AJ55" i="4"/>
  <c r="AR124" i="4"/>
  <c r="AQ124" i="4"/>
  <c r="O58" i="4"/>
  <c r="W58" i="4" s="1"/>
  <c r="AY50" i="4"/>
  <c r="AZ50" i="4"/>
  <c r="L130" i="4"/>
  <c r="Y130" i="4"/>
  <c r="E130" i="4"/>
  <c r="C130" i="4"/>
  <c r="K130" i="4"/>
  <c r="D130" i="4"/>
  <c r="F130" i="4"/>
  <c r="G130" i="4" s="1"/>
  <c r="B130" i="4"/>
  <c r="AK54" i="4"/>
  <c r="AL54" i="4"/>
  <c r="AW123" i="4"/>
  <c r="AX123" i="4"/>
  <c r="AD56" i="4"/>
  <c r="AC56" i="4"/>
  <c r="AB129" i="4"/>
  <c r="AA129" i="4"/>
  <c r="BC49" i="4"/>
  <c r="BD49" i="4"/>
  <c r="AY122" i="4"/>
  <c r="AZ122" i="4"/>
  <c r="BG48" i="4"/>
  <c r="BH48" i="4"/>
  <c r="BI48" i="4" s="1"/>
  <c r="Z57" i="4"/>
  <c r="BB121" i="4"/>
  <c r="BA121" i="4"/>
  <c r="R58" i="4"/>
  <c r="S58" i="4" s="1"/>
  <c r="M59" i="4" s="1"/>
  <c r="U58" i="4"/>
  <c r="A58" i="4"/>
  <c r="AV51" i="4"/>
  <c r="AU51" i="4"/>
  <c r="AL126" i="4"/>
  <c r="AK126" i="4"/>
  <c r="X48" i="4" l="1"/>
  <c r="H131" i="4"/>
  <c r="V131" i="4"/>
  <c r="AN126" i="4"/>
  <c r="AM126" i="4"/>
  <c r="AF56" i="4"/>
  <c r="AE56" i="4"/>
  <c r="AN54" i="4"/>
  <c r="AM54" i="4"/>
  <c r="Z130" i="4"/>
  <c r="V58" i="4"/>
  <c r="H58" i="4"/>
  <c r="AI127" i="4"/>
  <c r="AJ127" i="4"/>
  <c r="AQ53" i="4"/>
  <c r="AR53" i="4"/>
  <c r="AT52" i="4"/>
  <c r="AS52" i="4"/>
  <c r="P131" i="4"/>
  <c r="J131" i="4" s="1"/>
  <c r="AC129" i="4"/>
  <c r="AD129" i="4"/>
  <c r="BC121" i="4"/>
  <c r="BD121" i="4"/>
  <c r="AW51" i="4"/>
  <c r="AX51" i="4"/>
  <c r="BA122" i="4"/>
  <c r="BB122" i="4"/>
  <c r="AB57" i="4"/>
  <c r="AA57" i="4"/>
  <c r="AZ123" i="4"/>
  <c r="AY123" i="4"/>
  <c r="BB50" i="4"/>
  <c r="BA50" i="4"/>
  <c r="AT124" i="4"/>
  <c r="AS124" i="4"/>
  <c r="AE128" i="4"/>
  <c r="AF128" i="4"/>
  <c r="AO125" i="4"/>
  <c r="AP125" i="4"/>
  <c r="BG120" i="4"/>
  <c r="BH120" i="4"/>
  <c r="BI120" i="4" s="1"/>
  <c r="Q131" i="4"/>
  <c r="I131" i="4" s="1"/>
  <c r="W131" i="4"/>
  <c r="U131" i="4"/>
  <c r="A131" i="4"/>
  <c r="N59" i="4"/>
  <c r="F58" i="4"/>
  <c r="G58" i="4" s="1"/>
  <c r="E58" i="4"/>
  <c r="B58" i="4"/>
  <c r="L58" i="4"/>
  <c r="Y58" i="4"/>
  <c r="K58" i="4"/>
  <c r="D58" i="4"/>
  <c r="C58" i="4"/>
  <c r="BE49" i="4"/>
  <c r="BF49" i="4"/>
  <c r="AL55" i="4"/>
  <c r="AK55" i="4"/>
  <c r="R131" i="4"/>
  <c r="S131" i="4" s="1"/>
  <c r="M132" i="4" s="1"/>
  <c r="X120" i="4" l="1"/>
  <c r="O59" i="4"/>
  <c r="W59" i="4" s="1"/>
  <c r="A59" i="4"/>
  <c r="U59" i="4"/>
  <c r="AV124" i="4"/>
  <c r="AU124" i="4"/>
  <c r="BB123" i="4"/>
  <c r="BA123" i="4"/>
  <c r="BD122" i="4"/>
  <c r="BC122" i="4"/>
  <c r="BF121" i="4"/>
  <c r="BE121" i="4"/>
  <c r="AO54" i="4"/>
  <c r="AP54" i="4"/>
  <c r="AO126" i="4"/>
  <c r="AP126" i="4"/>
  <c r="P59" i="4"/>
  <c r="J59" i="4" s="1"/>
  <c r="E131" i="4"/>
  <c r="Y131" i="4"/>
  <c r="C131" i="4"/>
  <c r="F131" i="4"/>
  <c r="G131" i="4" s="1"/>
  <c r="D131" i="4"/>
  <c r="L131" i="4"/>
  <c r="K131" i="4"/>
  <c r="B131" i="4"/>
  <c r="AG128" i="4"/>
  <c r="AH128" i="4"/>
  <c r="AL127" i="4"/>
  <c r="AK127" i="4"/>
  <c r="R59" i="4"/>
  <c r="S59" i="4" s="1"/>
  <c r="M60" i="4" s="1"/>
  <c r="BC50" i="4"/>
  <c r="BD50" i="4"/>
  <c r="AD57" i="4"/>
  <c r="AC57" i="4"/>
  <c r="AY51" i="4"/>
  <c r="AZ51" i="4"/>
  <c r="AF129" i="4"/>
  <c r="AE129" i="4"/>
  <c r="AU52" i="4"/>
  <c r="AV52" i="4"/>
  <c r="AA130" i="4"/>
  <c r="AB130" i="4"/>
  <c r="AH56" i="4"/>
  <c r="AG56" i="4"/>
  <c r="N132" i="4"/>
  <c r="Z58" i="4"/>
  <c r="AM55" i="4"/>
  <c r="AN55" i="4"/>
  <c r="BH49" i="4"/>
  <c r="BI49" i="4" s="1"/>
  <c r="BG49" i="4"/>
  <c r="Q59" i="4"/>
  <c r="I59" i="4" s="1"/>
  <c r="AQ125" i="4"/>
  <c r="AR125" i="4"/>
  <c r="AS53" i="4"/>
  <c r="AT53" i="4"/>
  <c r="X49" i="4" l="1"/>
  <c r="AT125" i="4"/>
  <c r="AS125" i="4"/>
  <c r="AB58" i="4"/>
  <c r="AA58" i="4"/>
  <c r="P132" i="4"/>
  <c r="J132" i="4" s="1"/>
  <c r="U132" i="4"/>
  <c r="A132" i="4"/>
  <c r="AR126" i="4"/>
  <c r="AQ126" i="4"/>
  <c r="AP55" i="4"/>
  <c r="AO55" i="4"/>
  <c r="R132" i="4"/>
  <c r="S132" i="4" s="1"/>
  <c r="M133" i="4" s="1"/>
  <c r="AG129" i="4"/>
  <c r="AH129" i="4"/>
  <c r="AE57" i="4"/>
  <c r="AF57" i="4"/>
  <c r="N60" i="4"/>
  <c r="Q60" i="4" s="1"/>
  <c r="I60" i="4" s="1"/>
  <c r="AI128" i="4"/>
  <c r="AJ128" i="4"/>
  <c r="Z131" i="4"/>
  <c r="BG121" i="4"/>
  <c r="BH121" i="4"/>
  <c r="BI121" i="4" s="1"/>
  <c r="BD123" i="4"/>
  <c r="BC123" i="4"/>
  <c r="AU53" i="4"/>
  <c r="AV53" i="4"/>
  <c r="Q132" i="4"/>
  <c r="I132" i="4" s="1"/>
  <c r="AI56" i="4"/>
  <c r="AJ56" i="4"/>
  <c r="AW52" i="4"/>
  <c r="AX52" i="4"/>
  <c r="BA51" i="4"/>
  <c r="BB51" i="4"/>
  <c r="BF50" i="4"/>
  <c r="BE50" i="4"/>
  <c r="AR54" i="4"/>
  <c r="AQ54" i="4"/>
  <c r="K59" i="4"/>
  <c r="B59" i="4"/>
  <c r="F59" i="4"/>
  <c r="G59" i="4" s="1"/>
  <c r="E59" i="4"/>
  <c r="C59" i="4"/>
  <c r="D59" i="4"/>
  <c r="Y59" i="4"/>
  <c r="L59" i="4"/>
  <c r="O132" i="4"/>
  <c r="W132" i="4" s="1"/>
  <c r="AC130" i="4"/>
  <c r="AD130" i="4"/>
  <c r="AN127" i="4"/>
  <c r="AM127" i="4"/>
  <c r="BF122" i="4"/>
  <c r="BE122" i="4"/>
  <c r="AX124" i="4"/>
  <c r="AW124" i="4"/>
  <c r="V59" i="4"/>
  <c r="H59" i="4"/>
  <c r="X121" i="4" l="1"/>
  <c r="Z59" i="4"/>
  <c r="AT54" i="4"/>
  <c r="AS54" i="4"/>
  <c r="P60" i="4"/>
  <c r="J60" i="4" s="1"/>
  <c r="AG57" i="4"/>
  <c r="AH57" i="4"/>
  <c r="N133" i="4"/>
  <c r="P133" i="4" s="1"/>
  <c r="J133" i="4" s="1"/>
  <c r="AS126" i="4"/>
  <c r="AT126" i="4"/>
  <c r="AD58" i="4"/>
  <c r="AC58" i="4"/>
  <c r="AE130" i="4"/>
  <c r="AF130" i="4"/>
  <c r="BH122" i="4"/>
  <c r="BI122" i="4" s="1"/>
  <c r="BG122" i="4"/>
  <c r="AY52" i="4"/>
  <c r="AZ52" i="4"/>
  <c r="BE123" i="4"/>
  <c r="BF123" i="4"/>
  <c r="AB131" i="4"/>
  <c r="AA131" i="4"/>
  <c r="AX53" i="4"/>
  <c r="AW53" i="4"/>
  <c r="AK128" i="4"/>
  <c r="AL128" i="4"/>
  <c r="O60" i="4"/>
  <c r="W60" i="4" s="1"/>
  <c r="U60" i="4"/>
  <c r="A60" i="4"/>
  <c r="AI129" i="4"/>
  <c r="AJ129" i="4"/>
  <c r="AR55" i="4"/>
  <c r="AQ55" i="4"/>
  <c r="AV125" i="4"/>
  <c r="AU125" i="4"/>
  <c r="H132" i="4"/>
  <c r="V132" i="4"/>
  <c r="BH50" i="4"/>
  <c r="BI50" i="4" s="1"/>
  <c r="BG50" i="4"/>
  <c r="AY124" i="4"/>
  <c r="AZ124" i="4"/>
  <c r="AP127" i="4"/>
  <c r="AO127" i="4"/>
  <c r="BC51" i="4"/>
  <c r="BD51" i="4"/>
  <c r="AK56" i="4"/>
  <c r="AL56" i="4"/>
  <c r="R60" i="4"/>
  <c r="S60" i="4" s="1"/>
  <c r="M61" i="4" s="1"/>
  <c r="E132" i="4"/>
  <c r="L132" i="4"/>
  <c r="Y132" i="4"/>
  <c r="B132" i="4"/>
  <c r="K132" i="4"/>
  <c r="C132" i="4"/>
  <c r="D132" i="4"/>
  <c r="F132" i="4"/>
  <c r="G132" i="4" s="1"/>
  <c r="X50" i="4" l="1"/>
  <c r="X122" i="4"/>
  <c r="Z132" i="4"/>
  <c r="BE51" i="4"/>
  <c r="BF51" i="4"/>
  <c r="BA124" i="4"/>
  <c r="BB124" i="4"/>
  <c r="Y60" i="4"/>
  <c r="Z60" i="4" s="1"/>
  <c r="B60" i="4"/>
  <c r="K60" i="4"/>
  <c r="D60" i="4"/>
  <c r="E60" i="4"/>
  <c r="C60" i="4"/>
  <c r="L60" i="4"/>
  <c r="F60" i="4"/>
  <c r="G60" i="4" s="1"/>
  <c r="AM128" i="4"/>
  <c r="AN128" i="4"/>
  <c r="BA52" i="4"/>
  <c r="BB52" i="4"/>
  <c r="AG130" i="4"/>
  <c r="AH130" i="4"/>
  <c r="AE58" i="4"/>
  <c r="AF58" i="4"/>
  <c r="O133" i="4"/>
  <c r="W133" i="4" s="1"/>
  <c r="N61" i="4"/>
  <c r="R61" i="4" s="1"/>
  <c r="S61" i="4" s="1"/>
  <c r="M62" i="4" s="1"/>
  <c r="AT55" i="4"/>
  <c r="AS55" i="4"/>
  <c r="AC131" i="4"/>
  <c r="AD131" i="4"/>
  <c r="AV126" i="4"/>
  <c r="AU126" i="4"/>
  <c r="AB59" i="4"/>
  <c r="AA59" i="4"/>
  <c r="AN56" i="4"/>
  <c r="AM56" i="4"/>
  <c r="AL129" i="4"/>
  <c r="AK129" i="4"/>
  <c r="BG123" i="4"/>
  <c r="BH123" i="4"/>
  <c r="BI123" i="4" s="1"/>
  <c r="Q133" i="4"/>
  <c r="I133" i="4" s="1"/>
  <c r="U133" i="4"/>
  <c r="A133" i="4"/>
  <c r="AQ127" i="4"/>
  <c r="AR127" i="4"/>
  <c r="AW125" i="4"/>
  <c r="AX125" i="4"/>
  <c r="V60" i="4"/>
  <c r="H60" i="4"/>
  <c r="AY53" i="4"/>
  <c r="AZ53" i="4"/>
  <c r="R133" i="4"/>
  <c r="S133" i="4" s="1"/>
  <c r="M134" i="4" s="1"/>
  <c r="AI57" i="4"/>
  <c r="AJ57" i="4"/>
  <c r="AU54" i="4"/>
  <c r="AV54" i="4"/>
  <c r="X123" i="4" l="1"/>
  <c r="N62" i="4"/>
  <c r="Q62" i="4" s="1"/>
  <c r="I62" i="4" s="1"/>
  <c r="N134" i="4"/>
  <c r="P134" i="4" s="1"/>
  <c r="J134" i="4" s="1"/>
  <c r="AN129" i="4"/>
  <c r="AM129" i="4"/>
  <c r="AD59" i="4"/>
  <c r="AC59" i="4"/>
  <c r="P61" i="4"/>
  <c r="J61" i="4" s="1"/>
  <c r="AH58" i="4"/>
  <c r="AG58" i="4"/>
  <c r="BD52" i="4"/>
  <c r="BC52" i="4"/>
  <c r="AB60" i="4"/>
  <c r="AA60" i="4"/>
  <c r="AX54" i="4"/>
  <c r="AW54" i="4"/>
  <c r="BB53" i="4"/>
  <c r="BA53" i="4"/>
  <c r="AZ125" i="4"/>
  <c r="AY125" i="4"/>
  <c r="BD124" i="4"/>
  <c r="BC124" i="4"/>
  <c r="F133" i="4"/>
  <c r="G133" i="4" s="1"/>
  <c r="C133" i="4"/>
  <c r="Y133" i="4"/>
  <c r="L133" i="4"/>
  <c r="K133" i="4"/>
  <c r="D133" i="4"/>
  <c r="E133" i="4"/>
  <c r="B133" i="4"/>
  <c r="AO56" i="4"/>
  <c r="AP56" i="4"/>
  <c r="AX126" i="4"/>
  <c r="AW126" i="4"/>
  <c r="AU55" i="4"/>
  <c r="AV55" i="4"/>
  <c r="Q61" i="4"/>
  <c r="I61" i="4" s="1"/>
  <c r="U61" i="4"/>
  <c r="A61" i="4"/>
  <c r="AI130" i="4"/>
  <c r="AJ130" i="4"/>
  <c r="AB132" i="4"/>
  <c r="AA132" i="4"/>
  <c r="AL57" i="4"/>
  <c r="AK57" i="4"/>
  <c r="AS127" i="4"/>
  <c r="AT127" i="4"/>
  <c r="AE131" i="4"/>
  <c r="AF131" i="4"/>
  <c r="O61" i="4"/>
  <c r="W61" i="4" s="1"/>
  <c r="H133" i="4"/>
  <c r="V133" i="4"/>
  <c r="AO128" i="4"/>
  <c r="AP128" i="4"/>
  <c r="BH51" i="4"/>
  <c r="BI51" i="4" s="1"/>
  <c r="BG51" i="4"/>
  <c r="X51" i="4" l="1"/>
  <c r="AQ128" i="4"/>
  <c r="AR128" i="4"/>
  <c r="V61" i="4"/>
  <c r="H61" i="4"/>
  <c r="AV127" i="4"/>
  <c r="AU127" i="4"/>
  <c r="B61" i="4"/>
  <c r="C61" i="4"/>
  <c r="E61" i="4"/>
  <c r="K61" i="4"/>
  <c r="Y61" i="4"/>
  <c r="Z61" i="4" s="1"/>
  <c r="F61" i="4"/>
  <c r="G61" i="4" s="1"/>
  <c r="L61" i="4"/>
  <c r="D61" i="4"/>
  <c r="AW55" i="4"/>
  <c r="AX55" i="4"/>
  <c r="AQ56" i="4"/>
  <c r="AR56" i="4"/>
  <c r="BC53" i="4"/>
  <c r="BD53" i="4"/>
  <c r="AD60" i="4"/>
  <c r="AC60" i="4"/>
  <c r="AI58" i="4"/>
  <c r="AJ58" i="4"/>
  <c r="O62" i="4"/>
  <c r="AH131" i="4"/>
  <c r="AG131" i="4"/>
  <c r="AD132" i="4"/>
  <c r="AC132" i="4"/>
  <c r="AO129" i="4"/>
  <c r="AP129" i="4"/>
  <c r="Q134" i="4"/>
  <c r="I134" i="4" s="1"/>
  <c r="U134" i="4"/>
  <c r="A134" i="4"/>
  <c r="P62" i="4"/>
  <c r="J62" i="4" s="1"/>
  <c r="AK130" i="4"/>
  <c r="AL130" i="4"/>
  <c r="BB125" i="4"/>
  <c r="BA125" i="4"/>
  <c r="AY54" i="4"/>
  <c r="AZ54" i="4"/>
  <c r="BF52" i="4"/>
  <c r="BE52" i="4"/>
  <c r="R134" i="4"/>
  <c r="S134" i="4" s="1"/>
  <c r="M135" i="4" s="1"/>
  <c r="AN57" i="4"/>
  <c r="AM57" i="4"/>
  <c r="AY126" i="4"/>
  <c r="AZ126" i="4"/>
  <c r="Z133" i="4"/>
  <c r="BE124" i="4"/>
  <c r="BF124" i="4"/>
  <c r="AE59" i="4"/>
  <c r="AF59" i="4"/>
  <c r="O134" i="4"/>
  <c r="W134" i="4" s="1"/>
  <c r="R62" i="4"/>
  <c r="S62" i="4" s="1"/>
  <c r="M63" i="4" s="1"/>
  <c r="A62" i="4"/>
  <c r="W62" i="4"/>
  <c r="U62" i="4"/>
  <c r="N63" i="4" l="1"/>
  <c r="BG124" i="4"/>
  <c r="BH124" i="4"/>
  <c r="BI124" i="4" s="1"/>
  <c r="BA126" i="4"/>
  <c r="BB126" i="4"/>
  <c r="N135" i="4"/>
  <c r="R135" i="4" s="1"/>
  <c r="S135" i="4" s="1"/>
  <c r="M136" i="4" s="1"/>
  <c r="V62" i="4"/>
  <c r="H62" i="4"/>
  <c r="AF60" i="4"/>
  <c r="AE60" i="4"/>
  <c r="AT128" i="4"/>
  <c r="AS128" i="4"/>
  <c r="AF132" i="4"/>
  <c r="AE132" i="4"/>
  <c r="AK58" i="4"/>
  <c r="AL58" i="4"/>
  <c r="BE53" i="4"/>
  <c r="BF53" i="4"/>
  <c r="AY55" i="4"/>
  <c r="AZ55" i="4"/>
  <c r="AW127" i="4"/>
  <c r="AX127" i="4"/>
  <c r="V134" i="4"/>
  <c r="H134" i="4"/>
  <c r="AH59" i="4"/>
  <c r="AG59" i="4"/>
  <c r="BH52" i="4"/>
  <c r="BI52" i="4" s="1"/>
  <c r="BG52" i="4"/>
  <c r="BC125" i="4"/>
  <c r="BD125" i="4"/>
  <c r="AQ129" i="4"/>
  <c r="AR129" i="4"/>
  <c r="AA61" i="4"/>
  <c r="AB61" i="4"/>
  <c r="K62" i="4"/>
  <c r="D62" i="4"/>
  <c r="L62" i="4"/>
  <c r="E62" i="4"/>
  <c r="Y62" i="4"/>
  <c r="C62" i="4"/>
  <c r="F62" i="4"/>
  <c r="G62" i="4" s="1"/>
  <c r="B62" i="4"/>
  <c r="AA133" i="4"/>
  <c r="AB133" i="4"/>
  <c r="AP57" i="4"/>
  <c r="AO57" i="4"/>
  <c r="BA54" i="4"/>
  <c r="BB54" i="4"/>
  <c r="AM130" i="4"/>
  <c r="AN130" i="4"/>
  <c r="B134" i="4"/>
  <c r="L134" i="4"/>
  <c r="K134" i="4"/>
  <c r="F134" i="4"/>
  <c r="G134" i="4" s="1"/>
  <c r="Y134" i="4"/>
  <c r="C134" i="4"/>
  <c r="D134" i="4"/>
  <c r="E134" i="4"/>
  <c r="AJ131" i="4"/>
  <c r="AI131" i="4"/>
  <c r="AS56" i="4"/>
  <c r="AT56" i="4"/>
  <c r="X52" i="4" l="1"/>
  <c r="X124" i="4"/>
  <c r="AD61" i="4"/>
  <c r="AC61" i="4"/>
  <c r="BG53" i="4"/>
  <c r="BH53" i="4"/>
  <c r="BI53" i="4" s="1"/>
  <c r="N136" i="4"/>
  <c r="Q136" i="4" s="1"/>
  <c r="I136" i="4" s="1"/>
  <c r="U135" i="4"/>
  <c r="A135" i="4"/>
  <c r="R63" i="4"/>
  <c r="S63" i="4" s="1"/>
  <c r="M64" i="4" s="1"/>
  <c r="A63" i="4"/>
  <c r="U63" i="4"/>
  <c r="BF125" i="4"/>
  <c r="BE125" i="4"/>
  <c r="BC54" i="4"/>
  <c r="BD54" i="4"/>
  <c r="AD133" i="4"/>
  <c r="AC133" i="4"/>
  <c r="AJ59" i="4"/>
  <c r="AI59" i="4"/>
  <c r="AG132" i="4"/>
  <c r="AH132" i="4"/>
  <c r="AH60" i="4"/>
  <c r="AG60" i="4"/>
  <c r="P135" i="4"/>
  <c r="J135" i="4" s="1"/>
  <c r="BC126" i="4"/>
  <c r="BD126" i="4"/>
  <c r="O63" i="4"/>
  <c r="W63" i="4" s="1"/>
  <c r="AY127" i="4"/>
  <c r="AZ127" i="4"/>
  <c r="AK131" i="4"/>
  <c r="AL131" i="4"/>
  <c r="Z134" i="4"/>
  <c r="AS129" i="4"/>
  <c r="AT129" i="4"/>
  <c r="BB55" i="4"/>
  <c r="BA55" i="4"/>
  <c r="AM58" i="4"/>
  <c r="AN58" i="4"/>
  <c r="Q135" i="4"/>
  <c r="I135" i="4" s="1"/>
  <c r="P63" i="4"/>
  <c r="J63" i="4" s="1"/>
  <c r="AR57" i="4"/>
  <c r="AQ57" i="4"/>
  <c r="AU56" i="4"/>
  <c r="AV56" i="4"/>
  <c r="AO130" i="4"/>
  <c r="AP130" i="4"/>
  <c r="Z62" i="4"/>
  <c r="AU128" i="4"/>
  <c r="AV128" i="4"/>
  <c r="O135" i="4"/>
  <c r="W135" i="4" s="1"/>
  <c r="Q63" i="4"/>
  <c r="I63" i="4" s="1"/>
  <c r="X53" i="4" l="1"/>
  <c r="AW56" i="4"/>
  <c r="AX56" i="4"/>
  <c r="BF126" i="4"/>
  <c r="BE126" i="4"/>
  <c r="AI60" i="4"/>
  <c r="AJ60" i="4"/>
  <c r="AK59" i="4"/>
  <c r="AL59" i="4"/>
  <c r="AB62" i="4"/>
  <c r="AA62" i="4"/>
  <c r="BC55" i="4"/>
  <c r="BD55" i="4"/>
  <c r="BB127" i="4"/>
  <c r="BA127" i="4"/>
  <c r="AI132" i="4"/>
  <c r="AJ132" i="4"/>
  <c r="F63" i="4"/>
  <c r="G63" i="4" s="1"/>
  <c r="D63" i="4"/>
  <c r="B63" i="4"/>
  <c r="L63" i="4"/>
  <c r="Y63" i="4"/>
  <c r="Z63" i="4" s="1"/>
  <c r="E63" i="4"/>
  <c r="C63" i="4"/>
  <c r="K63" i="4"/>
  <c r="O136" i="4"/>
  <c r="W136" i="4" s="1"/>
  <c r="A136" i="4"/>
  <c r="U136" i="4"/>
  <c r="AF61" i="4"/>
  <c r="AE61" i="4"/>
  <c r="H135" i="4"/>
  <c r="V135" i="4"/>
  <c r="AW128" i="4"/>
  <c r="AX128" i="4"/>
  <c r="AV129" i="4"/>
  <c r="AU129" i="4"/>
  <c r="AE133" i="4"/>
  <c r="AF133" i="4"/>
  <c r="BH125" i="4"/>
  <c r="BI125" i="4" s="1"/>
  <c r="BG125" i="4"/>
  <c r="N64" i="4"/>
  <c r="P64" i="4" s="1"/>
  <c r="J64" i="4" s="1"/>
  <c r="P136" i="4"/>
  <c r="J136" i="4" s="1"/>
  <c r="AQ130" i="4"/>
  <c r="AR130" i="4"/>
  <c r="AP58" i="4"/>
  <c r="AO58" i="4"/>
  <c r="AA134" i="4"/>
  <c r="AB134" i="4"/>
  <c r="AS57" i="4"/>
  <c r="AT57" i="4"/>
  <c r="AN131" i="4"/>
  <c r="AM131" i="4"/>
  <c r="H63" i="4"/>
  <c r="V63" i="4"/>
  <c r="BE54" i="4"/>
  <c r="BF54" i="4"/>
  <c r="L135" i="4"/>
  <c r="Y135" i="4"/>
  <c r="K135" i="4"/>
  <c r="F135" i="4"/>
  <c r="G135" i="4" s="1"/>
  <c r="C135" i="4"/>
  <c r="B135" i="4"/>
  <c r="E135" i="4"/>
  <c r="D135" i="4"/>
  <c r="R136" i="4"/>
  <c r="S136" i="4" s="1"/>
  <c r="M137" i="4" s="1"/>
  <c r="X125" i="4" l="1"/>
  <c r="AV57" i="4"/>
  <c r="AU57" i="4"/>
  <c r="BG54" i="4"/>
  <c r="BH54" i="4"/>
  <c r="BI54" i="4" s="1"/>
  <c r="AC134" i="4"/>
  <c r="AD134" i="4"/>
  <c r="AT130" i="4"/>
  <c r="AS130" i="4"/>
  <c r="R64" i="4"/>
  <c r="S64" i="4" s="1"/>
  <c r="M65" i="4" s="1"/>
  <c r="AW129" i="4"/>
  <c r="AX129" i="4"/>
  <c r="D136" i="4"/>
  <c r="B136" i="4"/>
  <c r="K136" i="4"/>
  <c r="E136" i="4"/>
  <c r="Y136" i="4"/>
  <c r="C136" i="4"/>
  <c r="L136" i="4"/>
  <c r="F136" i="4"/>
  <c r="G136" i="4" s="1"/>
  <c r="BH126" i="4"/>
  <c r="BI126" i="4" s="1"/>
  <c r="BG126" i="4"/>
  <c r="AP131" i="4"/>
  <c r="AO131" i="4"/>
  <c r="AG133" i="4"/>
  <c r="AH133" i="4"/>
  <c r="AY128" i="4"/>
  <c r="AZ128" i="4"/>
  <c r="AL60" i="4"/>
  <c r="AK60" i="4"/>
  <c r="AY56" i="4"/>
  <c r="AZ56" i="4"/>
  <c r="O64" i="4"/>
  <c r="W64" i="4" s="1"/>
  <c r="A64" i="4"/>
  <c r="U64" i="4"/>
  <c r="AG61" i="4"/>
  <c r="AH61" i="4"/>
  <c r="H136" i="4"/>
  <c r="V136" i="4"/>
  <c r="AA63" i="4"/>
  <c r="AB63" i="4"/>
  <c r="BD127" i="4"/>
  <c r="BC127" i="4"/>
  <c r="AD62" i="4"/>
  <c r="AC62" i="4"/>
  <c r="Z135" i="4"/>
  <c r="N137" i="4"/>
  <c r="O137" i="4" s="1"/>
  <c r="AQ58" i="4"/>
  <c r="AR58" i="4"/>
  <c r="Q64" i="4"/>
  <c r="I64" i="4" s="1"/>
  <c r="AK132" i="4"/>
  <c r="AL132" i="4"/>
  <c r="BE55" i="4"/>
  <c r="BF55" i="4"/>
  <c r="AM59" i="4"/>
  <c r="AN59" i="4"/>
  <c r="X54" i="4" l="1"/>
  <c r="X126" i="4"/>
  <c r="V137" i="4"/>
  <c r="H137" i="4"/>
  <c r="AS58" i="4"/>
  <c r="AT58" i="4"/>
  <c r="AD63" i="4"/>
  <c r="AC63" i="4"/>
  <c r="AJ61" i="4"/>
  <c r="AI61" i="4"/>
  <c r="F64" i="4"/>
  <c r="G64" i="4" s="1"/>
  <c r="Y64" i="4"/>
  <c r="K64" i="4"/>
  <c r="C64" i="4"/>
  <c r="D64" i="4"/>
  <c r="B64" i="4"/>
  <c r="E64" i="4"/>
  <c r="L64" i="4"/>
  <c r="BB128" i="4"/>
  <c r="BA128" i="4"/>
  <c r="Z136" i="4"/>
  <c r="Q137" i="4"/>
  <c r="I137" i="4" s="1"/>
  <c r="U137" i="4"/>
  <c r="W137" i="4"/>
  <c r="A137" i="4"/>
  <c r="AF62" i="4"/>
  <c r="AE62" i="4"/>
  <c r="AY129" i="4"/>
  <c r="AZ129" i="4"/>
  <c r="AU130" i="4"/>
  <c r="AV130" i="4"/>
  <c r="AO59" i="4"/>
  <c r="AP59" i="4"/>
  <c r="AM132" i="4"/>
  <c r="AN132" i="4"/>
  <c r="P137" i="4"/>
  <c r="J137" i="4" s="1"/>
  <c r="V64" i="4"/>
  <c r="H64" i="4"/>
  <c r="AN60" i="4"/>
  <c r="AM60" i="4"/>
  <c r="AJ133" i="4"/>
  <c r="AI133" i="4"/>
  <c r="AR131" i="4"/>
  <c r="AQ131" i="4"/>
  <c r="AF134" i="4"/>
  <c r="AE134" i="4"/>
  <c r="BG55" i="4"/>
  <c r="BH55" i="4"/>
  <c r="BI55" i="4" s="1"/>
  <c r="R137" i="4"/>
  <c r="S137" i="4" s="1"/>
  <c r="M138" i="4" s="1"/>
  <c r="AA135" i="4"/>
  <c r="AB135" i="4"/>
  <c r="BE127" i="4"/>
  <c r="BF127" i="4"/>
  <c r="BA56" i="4"/>
  <c r="BB56" i="4"/>
  <c r="N65" i="4"/>
  <c r="O65" i="4" s="1"/>
  <c r="AW57" i="4"/>
  <c r="AX57" i="4"/>
  <c r="H65" i="4" l="1"/>
  <c r="V65" i="4"/>
  <c r="AH62" i="4"/>
  <c r="AG62" i="4"/>
  <c r="BC128" i="4"/>
  <c r="BD128" i="4"/>
  <c r="AF63" i="4"/>
  <c r="AE63" i="4"/>
  <c r="AY57" i="4"/>
  <c r="AZ57" i="4"/>
  <c r="BG127" i="4"/>
  <c r="BH127" i="4"/>
  <c r="BI127" i="4" s="1"/>
  <c r="N138" i="4"/>
  <c r="Q138" i="4" s="1"/>
  <c r="I138" i="4" s="1"/>
  <c r="AG134" i="4"/>
  <c r="AH134" i="4"/>
  <c r="AL133" i="4"/>
  <c r="AK133" i="4"/>
  <c r="AQ59" i="4"/>
  <c r="AR59" i="4"/>
  <c r="BB129" i="4"/>
  <c r="BA129" i="4"/>
  <c r="L137" i="4"/>
  <c r="F137" i="4"/>
  <c r="G137" i="4" s="1"/>
  <c r="Y137" i="4"/>
  <c r="E137" i="4"/>
  <c r="B137" i="4"/>
  <c r="K137" i="4"/>
  <c r="C137" i="4"/>
  <c r="D137" i="4"/>
  <c r="AV58" i="4"/>
  <c r="AU58" i="4"/>
  <c r="R65" i="4"/>
  <c r="S65" i="4" s="1"/>
  <c r="M66" i="4" s="1"/>
  <c r="U65" i="4"/>
  <c r="A65" i="4"/>
  <c r="W65" i="4"/>
  <c r="AA136" i="4"/>
  <c r="AB136" i="4"/>
  <c r="AL61" i="4"/>
  <c r="AK61" i="4"/>
  <c r="Q65" i="4"/>
  <c r="I65" i="4" s="1"/>
  <c r="P65" i="4"/>
  <c r="J65" i="4" s="1"/>
  <c r="BD56" i="4"/>
  <c r="BC56" i="4"/>
  <c r="AC135" i="4"/>
  <c r="AD135" i="4"/>
  <c r="X55" i="4"/>
  <c r="AT131" i="4"/>
  <c r="AS131" i="4"/>
  <c r="AO60" i="4"/>
  <c r="AP60" i="4"/>
  <c r="AO132" i="4"/>
  <c r="AP132" i="4"/>
  <c r="AW130" i="4"/>
  <c r="AX130" i="4"/>
  <c r="Z64" i="4"/>
  <c r="X127" i="4" l="1"/>
  <c r="BF56" i="4"/>
  <c r="BE56" i="4"/>
  <c r="AA64" i="4"/>
  <c r="AB64" i="4"/>
  <c r="AV131" i="4"/>
  <c r="AU131" i="4"/>
  <c r="AS59" i="4"/>
  <c r="AT59" i="4"/>
  <c r="AI134" i="4"/>
  <c r="AJ134" i="4"/>
  <c r="BB57" i="4"/>
  <c r="BA57" i="4"/>
  <c r="BF128" i="4"/>
  <c r="BE128" i="4"/>
  <c r="AY130" i="4"/>
  <c r="AZ130" i="4"/>
  <c r="AN61" i="4"/>
  <c r="AM61" i="4"/>
  <c r="E65" i="4"/>
  <c r="B65" i="4"/>
  <c r="Y65" i="4"/>
  <c r="L65" i="4"/>
  <c r="D65" i="4"/>
  <c r="F65" i="4"/>
  <c r="G65" i="4" s="1"/>
  <c r="C65" i="4"/>
  <c r="K65" i="4"/>
  <c r="AX58" i="4"/>
  <c r="AW58" i="4"/>
  <c r="O138" i="4"/>
  <c r="W138" i="4" s="1"/>
  <c r="U138" i="4"/>
  <c r="A138" i="4"/>
  <c r="AF135" i="4"/>
  <c r="AE135" i="4"/>
  <c r="AC136" i="4"/>
  <c r="AD136" i="4"/>
  <c r="P138" i="4"/>
  <c r="J138" i="4" s="1"/>
  <c r="AQ60" i="4"/>
  <c r="AR60" i="4"/>
  <c r="AR132" i="4"/>
  <c r="AQ132" i="4"/>
  <c r="N66" i="4"/>
  <c r="Z137" i="4"/>
  <c r="BD129" i="4"/>
  <c r="BC129" i="4"/>
  <c r="AM133" i="4"/>
  <c r="AN133" i="4"/>
  <c r="R138" i="4"/>
  <c r="S138" i="4" s="1"/>
  <c r="M139" i="4" s="1"/>
  <c r="AG63" i="4"/>
  <c r="AH63" i="4"/>
  <c r="AJ62" i="4"/>
  <c r="AI62" i="4"/>
  <c r="P66" i="4" l="1"/>
  <c r="J66" i="4" s="1"/>
  <c r="A66" i="4"/>
  <c r="U66" i="4"/>
  <c r="AT60" i="4"/>
  <c r="AS60" i="4"/>
  <c r="AY58" i="4"/>
  <c r="AZ58" i="4"/>
  <c r="BC57" i="4"/>
  <c r="BD57" i="4"/>
  <c r="AI63" i="4"/>
  <c r="AJ63" i="4"/>
  <c r="AB137" i="4"/>
  <c r="AA137" i="4"/>
  <c r="O66" i="4"/>
  <c r="W66" i="4" s="1"/>
  <c r="AL134" i="4"/>
  <c r="AK134" i="4"/>
  <c r="N139" i="4"/>
  <c r="P139" i="4" s="1"/>
  <c r="J139" i="4" s="1"/>
  <c r="BE129" i="4"/>
  <c r="BF129" i="4"/>
  <c r="Q66" i="4"/>
  <c r="I66" i="4" s="1"/>
  <c r="AH135" i="4"/>
  <c r="AG135" i="4"/>
  <c r="V138" i="4"/>
  <c r="H138" i="4"/>
  <c r="Z65" i="4"/>
  <c r="AP61" i="4"/>
  <c r="AO61" i="4"/>
  <c r="BH128" i="4"/>
  <c r="BI128" i="4" s="1"/>
  <c r="BG128" i="4"/>
  <c r="AX131" i="4"/>
  <c r="AW131" i="4"/>
  <c r="BG56" i="4"/>
  <c r="BH56" i="4"/>
  <c r="BI56" i="4" s="1"/>
  <c r="AK62" i="4"/>
  <c r="AL62" i="4"/>
  <c r="AP133" i="4"/>
  <c r="AO133" i="4"/>
  <c r="R66" i="4"/>
  <c r="S66" i="4" s="1"/>
  <c r="M67" i="4" s="1"/>
  <c r="AS132" i="4"/>
  <c r="AT132" i="4"/>
  <c r="AF136" i="4"/>
  <c r="AE136" i="4"/>
  <c r="K138" i="4"/>
  <c r="Y138" i="4"/>
  <c r="C138" i="4"/>
  <c r="B138" i="4"/>
  <c r="D138" i="4"/>
  <c r="L138" i="4"/>
  <c r="F138" i="4"/>
  <c r="G138" i="4" s="1"/>
  <c r="E138" i="4"/>
  <c r="BB130" i="4"/>
  <c r="BA130" i="4"/>
  <c r="AU59" i="4"/>
  <c r="AV59" i="4"/>
  <c r="AD64" i="4"/>
  <c r="AC64" i="4"/>
  <c r="X128" i="4" l="1"/>
  <c r="X56" i="4"/>
  <c r="Q139" i="4"/>
  <c r="I139" i="4" s="1"/>
  <c r="Z138" i="4"/>
  <c r="AU132" i="4"/>
  <c r="AV132" i="4"/>
  <c r="AR133" i="4"/>
  <c r="AQ133" i="4"/>
  <c r="AA65" i="4"/>
  <c r="AB65" i="4"/>
  <c r="AI135" i="4"/>
  <c r="AJ135" i="4"/>
  <c r="A139" i="4"/>
  <c r="U139" i="4"/>
  <c r="BC130" i="4"/>
  <c r="BD130" i="4"/>
  <c r="AM62" i="4"/>
  <c r="AN62" i="4"/>
  <c r="AC137" i="4"/>
  <c r="AD137" i="4"/>
  <c r="BF57" i="4"/>
  <c r="BE57" i="4"/>
  <c r="B66" i="4"/>
  <c r="F66" i="4"/>
  <c r="G66" i="4" s="1"/>
  <c r="C66" i="4"/>
  <c r="E66" i="4"/>
  <c r="Y66" i="4"/>
  <c r="Z66" i="4" s="1"/>
  <c r="L66" i="4"/>
  <c r="D66" i="4"/>
  <c r="K66" i="4"/>
  <c r="N67" i="4"/>
  <c r="AY131" i="4"/>
  <c r="AZ131" i="4"/>
  <c r="AQ61" i="4"/>
  <c r="AR61" i="4"/>
  <c r="BH129" i="4"/>
  <c r="BI129" i="4" s="1"/>
  <c r="BG129" i="4"/>
  <c r="O139" i="4"/>
  <c r="W139" i="4" s="1"/>
  <c r="AN134" i="4"/>
  <c r="AM134" i="4"/>
  <c r="AL63" i="4"/>
  <c r="AK63" i="4"/>
  <c r="AU60" i="4"/>
  <c r="AV60" i="4"/>
  <c r="AE64" i="4"/>
  <c r="AF64" i="4"/>
  <c r="AW59" i="4"/>
  <c r="AX59" i="4"/>
  <c r="AG136" i="4"/>
  <c r="AH136" i="4"/>
  <c r="R139" i="4"/>
  <c r="S139" i="4" s="1"/>
  <c r="M140" i="4" s="1"/>
  <c r="H66" i="4"/>
  <c r="V66" i="4"/>
  <c r="BA58" i="4"/>
  <c r="BB58" i="4"/>
  <c r="X129" i="4" l="1"/>
  <c r="O67" i="4"/>
  <c r="W67" i="4" s="1"/>
  <c r="U67" i="4"/>
  <c r="A67" i="4"/>
  <c r="AE137" i="4"/>
  <c r="AF137" i="4"/>
  <c r="BE130" i="4"/>
  <c r="BF130" i="4"/>
  <c r="C139" i="4"/>
  <c r="L139" i="4"/>
  <c r="E139" i="4"/>
  <c r="K139" i="4"/>
  <c r="B139" i="4"/>
  <c r="Y139" i="4"/>
  <c r="Z139" i="4" s="1"/>
  <c r="F139" i="4"/>
  <c r="G139" i="4" s="1"/>
  <c r="D139" i="4"/>
  <c r="AD65" i="4"/>
  <c r="AC65" i="4"/>
  <c r="AX132" i="4"/>
  <c r="AW132" i="4"/>
  <c r="AZ59" i="4"/>
  <c r="AY59" i="4"/>
  <c r="BD58" i="4"/>
  <c r="BC58" i="4"/>
  <c r="AP134" i="4"/>
  <c r="AO134" i="4"/>
  <c r="AS61" i="4"/>
  <c r="AT61" i="4"/>
  <c r="P67" i="4"/>
  <c r="J67" i="4" s="1"/>
  <c r="AB66" i="4"/>
  <c r="AA66" i="4"/>
  <c r="AX60" i="4"/>
  <c r="AW60" i="4"/>
  <c r="H139" i="4"/>
  <c r="V139" i="4"/>
  <c r="Q67" i="4"/>
  <c r="I67" i="4" s="1"/>
  <c r="AP62" i="4"/>
  <c r="AO62" i="4"/>
  <c r="AL135" i="4"/>
  <c r="AK135" i="4"/>
  <c r="N140" i="4"/>
  <c r="R140" i="4" s="1"/>
  <c r="S140" i="4" s="1"/>
  <c r="M141" i="4" s="1"/>
  <c r="AI136" i="4"/>
  <c r="AJ136" i="4"/>
  <c r="AH64" i="4"/>
  <c r="AG64" i="4"/>
  <c r="AM63" i="4"/>
  <c r="AN63" i="4"/>
  <c r="BA131" i="4"/>
  <c r="BB131" i="4"/>
  <c r="R67" i="4"/>
  <c r="S67" i="4" s="1"/>
  <c r="M68" i="4" s="1"/>
  <c r="BH57" i="4"/>
  <c r="BI57" i="4" s="1"/>
  <c r="BG57" i="4"/>
  <c r="AT133" i="4"/>
  <c r="AS133" i="4"/>
  <c r="AA138" i="4"/>
  <c r="AB138" i="4"/>
  <c r="X57" i="4" l="1"/>
  <c r="O140" i="4"/>
  <c r="H140" i="4" s="1"/>
  <c r="N141" i="4"/>
  <c r="N68" i="4"/>
  <c r="Q68" i="4" s="1"/>
  <c r="I68" i="4" s="1"/>
  <c r="BE58" i="4"/>
  <c r="BF58" i="4"/>
  <c r="AZ132" i="4"/>
  <c r="AY132" i="4"/>
  <c r="Y67" i="4"/>
  <c r="Z67" i="4" s="1"/>
  <c r="B67" i="4"/>
  <c r="K67" i="4"/>
  <c r="F67" i="4"/>
  <c r="G67" i="4" s="1"/>
  <c r="D67" i="4"/>
  <c r="C67" i="4"/>
  <c r="E67" i="4"/>
  <c r="L67" i="4"/>
  <c r="A140" i="4"/>
  <c r="W140" i="4"/>
  <c r="U140" i="4"/>
  <c r="AR62" i="4"/>
  <c r="AQ62" i="4"/>
  <c r="AD66" i="4"/>
  <c r="AC66" i="4"/>
  <c r="AB139" i="4"/>
  <c r="AA139" i="4"/>
  <c r="AH137" i="4"/>
  <c r="AG137" i="4"/>
  <c r="AV133" i="4"/>
  <c r="AU133" i="4"/>
  <c r="AC138" i="4"/>
  <c r="AD138" i="4"/>
  <c r="AJ64" i="4"/>
  <c r="AI64" i="4"/>
  <c r="AY60" i="4"/>
  <c r="AZ60" i="4"/>
  <c r="AQ134" i="4"/>
  <c r="AR134" i="4"/>
  <c r="BB59" i="4"/>
  <c r="BA59" i="4"/>
  <c r="AF65" i="4"/>
  <c r="AE65" i="4"/>
  <c r="H67" i="4"/>
  <c r="V67" i="4"/>
  <c r="BD131" i="4"/>
  <c r="BC131" i="4"/>
  <c r="P140" i="4"/>
  <c r="J140" i="4" s="1"/>
  <c r="AP63" i="4"/>
  <c r="AO63" i="4"/>
  <c r="AL136" i="4"/>
  <c r="AK136" i="4"/>
  <c r="Q140" i="4"/>
  <c r="I140" i="4" s="1"/>
  <c r="AN135" i="4"/>
  <c r="AM135" i="4"/>
  <c r="AU61" i="4"/>
  <c r="AV61" i="4"/>
  <c r="BG130" i="4"/>
  <c r="BH130" i="4"/>
  <c r="BI130" i="4" s="1"/>
  <c r="V140" i="4" l="1"/>
  <c r="O68" i="4"/>
  <c r="V68" i="4" s="1"/>
  <c r="X130" i="4"/>
  <c r="AN136" i="4"/>
  <c r="AM136" i="4"/>
  <c r="BD59" i="4"/>
  <c r="BC59" i="4"/>
  <c r="AJ137" i="4"/>
  <c r="AI137" i="4"/>
  <c r="AE66" i="4"/>
  <c r="AF66" i="4"/>
  <c r="Q141" i="4"/>
  <c r="I141" i="4" s="1"/>
  <c r="U141" i="4"/>
  <c r="A141" i="4"/>
  <c r="AO135" i="4"/>
  <c r="AP135" i="4"/>
  <c r="AS134" i="4"/>
  <c r="AT134" i="4"/>
  <c r="K140" i="4"/>
  <c r="F140" i="4"/>
  <c r="G140" i="4" s="1"/>
  <c r="C140" i="4"/>
  <c r="Y140" i="4"/>
  <c r="D140" i="4"/>
  <c r="E140" i="4"/>
  <c r="L140" i="4"/>
  <c r="B140" i="4"/>
  <c r="BB132" i="4"/>
  <c r="BA132" i="4"/>
  <c r="P68" i="4"/>
  <c r="J68" i="4" s="1"/>
  <c r="R141" i="4"/>
  <c r="S141" i="4" s="1"/>
  <c r="M142" i="4" s="1"/>
  <c r="AX61" i="4"/>
  <c r="AW61" i="4"/>
  <c r="AQ63" i="4"/>
  <c r="AR63" i="4"/>
  <c r="BF131" i="4"/>
  <c r="BE131" i="4"/>
  <c r="AG65" i="4"/>
  <c r="AH65" i="4"/>
  <c r="AL64" i="4"/>
  <c r="AK64" i="4"/>
  <c r="AX133" i="4"/>
  <c r="AW133" i="4"/>
  <c r="AC139" i="4"/>
  <c r="AD139" i="4"/>
  <c r="AT62" i="4"/>
  <c r="AS62" i="4"/>
  <c r="BG58" i="4"/>
  <c r="BH58" i="4"/>
  <c r="BI58" i="4" s="1"/>
  <c r="P141" i="4"/>
  <c r="J141" i="4" s="1"/>
  <c r="BA60" i="4"/>
  <c r="BB60" i="4"/>
  <c r="AE138" i="4"/>
  <c r="AF138" i="4"/>
  <c r="AA67" i="4"/>
  <c r="AB67" i="4"/>
  <c r="R68" i="4"/>
  <c r="S68" i="4" s="1"/>
  <c r="M69" i="4" s="1"/>
  <c r="U68" i="4"/>
  <c r="A68" i="4"/>
  <c r="O141" i="4"/>
  <c r="W141" i="4" s="1"/>
  <c r="W68" i="4" l="1"/>
  <c r="H68" i="4"/>
  <c r="X58" i="4"/>
  <c r="H141" i="4"/>
  <c r="V141" i="4"/>
  <c r="AE139" i="4"/>
  <c r="AF139" i="4"/>
  <c r="AK137" i="4"/>
  <c r="AL137" i="4"/>
  <c r="AO136" i="4"/>
  <c r="AP136" i="4"/>
  <c r="N69" i="4"/>
  <c r="P69" i="4" s="1"/>
  <c r="J69" i="4" s="1"/>
  <c r="AD67" i="4"/>
  <c r="AC67" i="4"/>
  <c r="BD60" i="4"/>
  <c r="BC60" i="4"/>
  <c r="AM64" i="4"/>
  <c r="AN64" i="4"/>
  <c r="BH131" i="4"/>
  <c r="BI131" i="4" s="1"/>
  <c r="BG131" i="4"/>
  <c r="AZ61" i="4"/>
  <c r="AY61" i="4"/>
  <c r="BD132" i="4"/>
  <c r="BC132" i="4"/>
  <c r="AQ135" i="4"/>
  <c r="AR135" i="4"/>
  <c r="AH66" i="4"/>
  <c r="AG66" i="4"/>
  <c r="AI65" i="4"/>
  <c r="AJ65" i="4"/>
  <c r="AT63" i="4"/>
  <c r="AS63" i="4"/>
  <c r="N142" i="4"/>
  <c r="Q142" i="4" s="1"/>
  <c r="I142" i="4" s="1"/>
  <c r="Z140" i="4"/>
  <c r="AU134" i="4"/>
  <c r="AV134" i="4"/>
  <c r="BE59" i="4"/>
  <c r="BF59" i="4"/>
  <c r="C68" i="4"/>
  <c r="D68" i="4"/>
  <c r="E68" i="4"/>
  <c r="Y68" i="4"/>
  <c r="F68" i="4"/>
  <c r="G68" i="4" s="1"/>
  <c r="B68" i="4"/>
  <c r="K68" i="4"/>
  <c r="L68" i="4"/>
  <c r="AH138" i="4"/>
  <c r="AG138" i="4"/>
  <c r="AV62" i="4"/>
  <c r="AU62" i="4"/>
  <c r="AZ133" i="4"/>
  <c r="AY133" i="4"/>
  <c r="D141" i="4"/>
  <c r="B141" i="4"/>
  <c r="F141" i="4"/>
  <c r="G141" i="4" s="1"/>
  <c r="E141" i="4"/>
  <c r="C141" i="4"/>
  <c r="L141" i="4"/>
  <c r="Y141" i="4"/>
  <c r="K141" i="4"/>
  <c r="X131" i="4" l="1"/>
  <c r="AB140" i="4"/>
  <c r="AA140" i="4"/>
  <c r="AX134" i="4"/>
  <c r="AW134" i="4"/>
  <c r="R142" i="4"/>
  <c r="S142" i="4" s="1"/>
  <c r="M143" i="4" s="1"/>
  <c r="R69" i="4"/>
  <c r="S69" i="4" s="1"/>
  <c r="M70" i="4" s="1"/>
  <c r="AR136" i="4"/>
  <c r="AQ136" i="4"/>
  <c r="AG139" i="4"/>
  <c r="AH139" i="4"/>
  <c r="AW62" i="4"/>
  <c r="AX62" i="4"/>
  <c r="AJ138" i="4"/>
  <c r="AI138" i="4"/>
  <c r="P142" i="4"/>
  <c r="J142" i="4" s="1"/>
  <c r="AU63" i="4"/>
  <c r="AV63" i="4"/>
  <c r="AJ66" i="4"/>
  <c r="AI66" i="4"/>
  <c r="BF132" i="4"/>
  <c r="BE132" i="4"/>
  <c r="BE60" i="4"/>
  <c r="BF60" i="4"/>
  <c r="Q69" i="4"/>
  <c r="I69" i="4" s="1"/>
  <c r="Z141" i="4"/>
  <c r="BA133" i="4"/>
  <c r="BB133" i="4"/>
  <c r="Z68" i="4"/>
  <c r="BH59" i="4"/>
  <c r="BI59" i="4" s="1"/>
  <c r="BG59" i="4"/>
  <c r="AK65" i="4"/>
  <c r="AL65" i="4"/>
  <c r="AT135" i="4"/>
  <c r="AS135" i="4"/>
  <c r="AO64" i="4"/>
  <c r="AP64" i="4"/>
  <c r="AN137" i="4"/>
  <c r="AM137" i="4"/>
  <c r="O142" i="4"/>
  <c r="W142" i="4" s="1"/>
  <c r="A142" i="4"/>
  <c r="U142" i="4"/>
  <c r="BB61" i="4"/>
  <c r="BA61" i="4"/>
  <c r="AF67" i="4"/>
  <c r="AE67" i="4"/>
  <c r="O69" i="4"/>
  <c r="W69" i="4" s="1"/>
  <c r="U69" i="4"/>
  <c r="A69" i="4"/>
  <c r="X59" i="4" l="1"/>
  <c r="BC61" i="4"/>
  <c r="BD61" i="4"/>
  <c r="AB68" i="4"/>
  <c r="AA68" i="4"/>
  <c r="AB141" i="4"/>
  <c r="AA141" i="4"/>
  <c r="AW63" i="4"/>
  <c r="AX63" i="4"/>
  <c r="AK138" i="4"/>
  <c r="AL138" i="4"/>
  <c r="N143" i="4"/>
  <c r="Q143" i="4" s="1"/>
  <c r="I143" i="4" s="1"/>
  <c r="AD140" i="4"/>
  <c r="AC140" i="4"/>
  <c r="H142" i="4"/>
  <c r="V142" i="4"/>
  <c r="Y69" i="4"/>
  <c r="F69" i="4"/>
  <c r="G69" i="4" s="1"/>
  <c r="B69" i="4"/>
  <c r="E69" i="4"/>
  <c r="L69" i="4"/>
  <c r="K69" i="4"/>
  <c r="D69" i="4"/>
  <c r="C69" i="4"/>
  <c r="BC133" i="4"/>
  <c r="BD133" i="4"/>
  <c r="BH132" i="4"/>
  <c r="BI132" i="4" s="1"/>
  <c r="BG132" i="4"/>
  <c r="AZ62" i="4"/>
  <c r="AY62" i="4"/>
  <c r="H69" i="4"/>
  <c r="V69" i="4"/>
  <c r="AG67" i="4"/>
  <c r="AH67" i="4"/>
  <c r="AO137" i="4"/>
  <c r="AP137" i="4"/>
  <c r="AV135" i="4"/>
  <c r="AU135" i="4"/>
  <c r="BG60" i="4"/>
  <c r="BH60" i="4"/>
  <c r="BI60" i="4" s="1"/>
  <c r="AS136" i="4"/>
  <c r="AT136" i="4"/>
  <c r="AZ134" i="4"/>
  <c r="AY134" i="4"/>
  <c r="D142" i="4"/>
  <c r="B142" i="4"/>
  <c r="F142" i="4"/>
  <c r="G142" i="4" s="1"/>
  <c r="E142" i="4"/>
  <c r="Y142" i="4"/>
  <c r="C142" i="4"/>
  <c r="L142" i="4"/>
  <c r="K142" i="4"/>
  <c r="AR64" i="4"/>
  <c r="AQ64" i="4"/>
  <c r="AN65" i="4"/>
  <c r="AM65" i="4"/>
  <c r="AK66" i="4"/>
  <c r="AL66" i="4"/>
  <c r="AI139" i="4"/>
  <c r="AJ139" i="4"/>
  <c r="N70" i="4"/>
  <c r="X132" i="4" l="1"/>
  <c r="X60" i="4"/>
  <c r="P70" i="4"/>
  <c r="J70" i="4" s="1"/>
  <c r="U70" i="4"/>
  <c r="A70" i="4"/>
  <c r="AT64" i="4"/>
  <c r="AS64" i="4"/>
  <c r="O70" i="4"/>
  <c r="W70" i="4" s="1"/>
  <c r="AL139" i="4"/>
  <c r="AK139" i="4"/>
  <c r="AQ137" i="4"/>
  <c r="AR137" i="4"/>
  <c r="O143" i="4"/>
  <c r="W143" i="4" s="1"/>
  <c r="AN138" i="4"/>
  <c r="AM138" i="4"/>
  <c r="BE61" i="4"/>
  <c r="BF61" i="4"/>
  <c r="Q70" i="4"/>
  <c r="I70" i="4" s="1"/>
  <c r="R70" i="4"/>
  <c r="S70" i="4" s="1"/>
  <c r="M71" i="4" s="1"/>
  <c r="AP65" i="4"/>
  <c r="AO65" i="4"/>
  <c r="BA134" i="4"/>
  <c r="BB134" i="4"/>
  <c r="R143" i="4"/>
  <c r="S143" i="4" s="1"/>
  <c r="M144" i="4" s="1"/>
  <c r="AC141" i="4"/>
  <c r="AD141" i="4"/>
  <c r="AM66" i="4"/>
  <c r="AN66" i="4"/>
  <c r="AU136" i="4"/>
  <c r="AV136" i="4"/>
  <c r="AJ67" i="4"/>
  <c r="AI67" i="4"/>
  <c r="BE133" i="4"/>
  <c r="BF133" i="4"/>
  <c r="AY63" i="4"/>
  <c r="AZ63" i="4"/>
  <c r="Z142" i="4"/>
  <c r="AX135" i="4"/>
  <c r="AW135" i="4"/>
  <c r="BA62" i="4"/>
  <c r="BB62" i="4"/>
  <c r="Z69" i="4"/>
  <c r="AE140" i="4"/>
  <c r="AF140" i="4"/>
  <c r="P143" i="4"/>
  <c r="J143" i="4" s="1"/>
  <c r="U143" i="4"/>
  <c r="A143" i="4"/>
  <c r="AD68" i="4"/>
  <c r="AC68" i="4"/>
  <c r="AF68" i="4" l="1"/>
  <c r="AE68" i="4"/>
  <c r="AH140" i="4"/>
  <c r="AG140" i="4"/>
  <c r="BD62" i="4"/>
  <c r="BC62" i="4"/>
  <c r="AK67" i="4"/>
  <c r="AL67" i="4"/>
  <c r="BC134" i="4"/>
  <c r="BD134" i="4"/>
  <c r="N71" i="4"/>
  <c r="P71" i="4" s="1"/>
  <c r="J71" i="4" s="1"/>
  <c r="AS137" i="4"/>
  <c r="AT137" i="4"/>
  <c r="H70" i="4"/>
  <c r="V70" i="4"/>
  <c r="AA142" i="4"/>
  <c r="AB142" i="4"/>
  <c r="BG133" i="4"/>
  <c r="BH133" i="4"/>
  <c r="BI133" i="4" s="1"/>
  <c r="AX136" i="4"/>
  <c r="AW136" i="4"/>
  <c r="AE141" i="4"/>
  <c r="AF141" i="4"/>
  <c r="E143" i="4"/>
  <c r="Y143" i="4"/>
  <c r="B143" i="4"/>
  <c r="F143" i="4"/>
  <c r="G143" i="4" s="1"/>
  <c r="D143" i="4"/>
  <c r="L143" i="4"/>
  <c r="C143" i="4"/>
  <c r="K143" i="4"/>
  <c r="BH61" i="4"/>
  <c r="BI61" i="4" s="1"/>
  <c r="BG61" i="4"/>
  <c r="AO138" i="4"/>
  <c r="AP138" i="4"/>
  <c r="AV64" i="4"/>
  <c r="AU64" i="4"/>
  <c r="AA69" i="4"/>
  <c r="AB69" i="4"/>
  <c r="AZ135" i="4"/>
  <c r="AY135" i="4"/>
  <c r="BB63" i="4"/>
  <c r="BA63" i="4"/>
  <c r="AO66" i="4"/>
  <c r="AP66" i="4"/>
  <c r="N144" i="4"/>
  <c r="Q144" i="4" s="1"/>
  <c r="I144" i="4" s="1"/>
  <c r="AR65" i="4"/>
  <c r="AQ65" i="4"/>
  <c r="H143" i="4"/>
  <c r="V143" i="4"/>
  <c r="AN139" i="4"/>
  <c r="AM139" i="4"/>
  <c r="Y70" i="4"/>
  <c r="Z70" i="4" s="1"/>
  <c r="L70" i="4"/>
  <c r="F70" i="4"/>
  <c r="G70" i="4" s="1"/>
  <c r="B70" i="4"/>
  <c r="D70" i="4"/>
  <c r="C70" i="4"/>
  <c r="E70" i="4"/>
  <c r="K70" i="4"/>
  <c r="O144" i="4" l="1"/>
  <c r="H144" i="4" s="1"/>
  <c r="X61" i="4"/>
  <c r="X133" i="4"/>
  <c r="AO139" i="4"/>
  <c r="AP139" i="4"/>
  <c r="R144" i="4"/>
  <c r="S144" i="4" s="1"/>
  <c r="M145" i="4" s="1"/>
  <c r="AQ66" i="4"/>
  <c r="AR66" i="4"/>
  <c r="Z143" i="4"/>
  <c r="AD142" i="4"/>
  <c r="AC142" i="4"/>
  <c r="Q71" i="4"/>
  <c r="I71" i="4" s="1"/>
  <c r="BE62" i="4"/>
  <c r="BF62" i="4"/>
  <c r="AG68" i="4"/>
  <c r="AH68" i="4"/>
  <c r="AB70" i="4"/>
  <c r="AA70" i="4"/>
  <c r="BA135" i="4"/>
  <c r="BB135" i="4"/>
  <c r="AW64" i="4"/>
  <c r="AX64" i="4"/>
  <c r="AY136" i="4"/>
  <c r="AZ136" i="4"/>
  <c r="AV137" i="4"/>
  <c r="AU137" i="4"/>
  <c r="AM67" i="4"/>
  <c r="AN67" i="4"/>
  <c r="AD69" i="4"/>
  <c r="AC69" i="4"/>
  <c r="AR138" i="4"/>
  <c r="AQ138" i="4"/>
  <c r="AG141" i="4"/>
  <c r="AH141" i="4"/>
  <c r="O71" i="4"/>
  <c r="W71" i="4" s="1"/>
  <c r="U71" i="4"/>
  <c r="A71" i="4"/>
  <c r="AI140" i="4"/>
  <c r="AJ140" i="4"/>
  <c r="AT65" i="4"/>
  <c r="AS65" i="4"/>
  <c r="P144" i="4"/>
  <c r="J144" i="4" s="1"/>
  <c r="A144" i="4"/>
  <c r="U144" i="4"/>
  <c r="BC63" i="4"/>
  <c r="BD63" i="4"/>
  <c r="R71" i="4"/>
  <c r="S71" i="4" s="1"/>
  <c r="M72" i="4" s="1"/>
  <c r="BE134" i="4"/>
  <c r="BF134" i="4"/>
  <c r="W144" i="4" l="1"/>
  <c r="V144" i="4"/>
  <c r="K144" i="4"/>
  <c r="D144" i="4"/>
  <c r="Y144" i="4"/>
  <c r="B144" i="4"/>
  <c r="L144" i="4"/>
  <c r="F144" i="4"/>
  <c r="G144" i="4" s="1"/>
  <c r="C144" i="4"/>
  <c r="E144" i="4"/>
  <c r="AU65" i="4"/>
  <c r="AV65" i="4"/>
  <c r="AF69" i="4"/>
  <c r="AE69" i="4"/>
  <c r="AX137" i="4"/>
  <c r="AW137" i="4"/>
  <c r="AY64" i="4"/>
  <c r="AZ64" i="4"/>
  <c r="BH62" i="4"/>
  <c r="BI62" i="4" s="1"/>
  <c r="BG62" i="4"/>
  <c r="AE142" i="4"/>
  <c r="AF142" i="4"/>
  <c r="BG134" i="4"/>
  <c r="BH134" i="4"/>
  <c r="BI134" i="4" s="1"/>
  <c r="BE63" i="4"/>
  <c r="BF63" i="4"/>
  <c r="AL140" i="4"/>
  <c r="AK140" i="4"/>
  <c r="AO67" i="4"/>
  <c r="AP67" i="4"/>
  <c r="AD70" i="4"/>
  <c r="AC70" i="4"/>
  <c r="N145" i="4"/>
  <c r="R145" i="4" s="1"/>
  <c r="S145" i="4" s="1"/>
  <c r="M146" i="4" s="1"/>
  <c r="V71" i="4"/>
  <c r="H71" i="4"/>
  <c r="AS138" i="4"/>
  <c r="AT138" i="4"/>
  <c r="BA136" i="4"/>
  <c r="BB136" i="4"/>
  <c r="BD135" i="4"/>
  <c r="BC135" i="4"/>
  <c r="AI68" i="4"/>
  <c r="AJ68" i="4"/>
  <c r="AB143" i="4"/>
  <c r="AA143" i="4"/>
  <c r="AR139" i="4"/>
  <c r="AQ139" i="4"/>
  <c r="N72" i="4"/>
  <c r="Y71" i="4"/>
  <c r="L71" i="4"/>
  <c r="F71" i="4"/>
  <c r="G71" i="4" s="1"/>
  <c r="E71" i="4"/>
  <c r="C71" i="4"/>
  <c r="D71" i="4"/>
  <c r="B71" i="4"/>
  <c r="K71" i="4"/>
  <c r="AI141" i="4"/>
  <c r="AJ141" i="4"/>
  <c r="AT66" i="4"/>
  <c r="AS66" i="4"/>
  <c r="X62" i="4" l="1"/>
  <c r="X134" i="4"/>
  <c r="N146" i="4"/>
  <c r="O72" i="4"/>
  <c r="W72" i="4" s="1"/>
  <c r="U72" i="4"/>
  <c r="A72" i="4"/>
  <c r="AC143" i="4"/>
  <c r="AD143" i="4"/>
  <c r="BE135" i="4"/>
  <c r="BF135" i="4"/>
  <c r="P145" i="4"/>
  <c r="J145" i="4" s="1"/>
  <c r="AX65" i="4"/>
  <c r="AW65" i="4"/>
  <c r="Z71" i="4"/>
  <c r="R72" i="4"/>
  <c r="S72" i="4" s="1"/>
  <c r="M73" i="4" s="1"/>
  <c r="AK68" i="4"/>
  <c r="AL68" i="4"/>
  <c r="BC136" i="4"/>
  <c r="BD136" i="4"/>
  <c r="Q145" i="4"/>
  <c r="I145" i="4" s="1"/>
  <c r="AF70" i="4"/>
  <c r="AE70" i="4"/>
  <c r="AN140" i="4"/>
  <c r="AM140" i="4"/>
  <c r="AY137" i="4"/>
  <c r="AZ137" i="4"/>
  <c r="AK141" i="4"/>
  <c r="AL141" i="4"/>
  <c r="P72" i="4"/>
  <c r="J72" i="4" s="1"/>
  <c r="AV66" i="4"/>
  <c r="AU66" i="4"/>
  <c r="Q72" i="4"/>
  <c r="I72" i="4" s="1"/>
  <c r="AS139" i="4"/>
  <c r="AT139" i="4"/>
  <c r="AR67" i="4"/>
  <c r="AQ67" i="4"/>
  <c r="BG63" i="4"/>
  <c r="BH63" i="4"/>
  <c r="BI63" i="4" s="1"/>
  <c r="AG142" i="4"/>
  <c r="AH142" i="4"/>
  <c r="BA64" i="4"/>
  <c r="BB64" i="4"/>
  <c r="AU138" i="4"/>
  <c r="AV138" i="4"/>
  <c r="O145" i="4"/>
  <c r="W145" i="4" s="1"/>
  <c r="U145" i="4"/>
  <c r="A145" i="4"/>
  <c r="AG69" i="4"/>
  <c r="AH69" i="4"/>
  <c r="Z144" i="4"/>
  <c r="X63" i="4" l="1"/>
  <c r="AG70" i="4"/>
  <c r="AH70" i="4"/>
  <c r="AM68" i="4"/>
  <c r="AN68" i="4"/>
  <c r="AA71" i="4"/>
  <c r="AB71" i="4"/>
  <c r="BG135" i="4"/>
  <c r="BH135" i="4"/>
  <c r="BI135" i="4" s="1"/>
  <c r="L72" i="4"/>
  <c r="E72" i="4"/>
  <c r="B72" i="4"/>
  <c r="F72" i="4"/>
  <c r="G72" i="4" s="1"/>
  <c r="D72" i="4"/>
  <c r="K72" i="4"/>
  <c r="C72" i="4"/>
  <c r="Y72" i="4"/>
  <c r="R146" i="4"/>
  <c r="S146" i="4" s="1"/>
  <c r="M147" i="4" s="1"/>
  <c r="A146" i="4"/>
  <c r="U146" i="4"/>
  <c r="AI69" i="4"/>
  <c r="AJ69" i="4"/>
  <c r="AI142" i="4"/>
  <c r="AJ142" i="4"/>
  <c r="AN141" i="4"/>
  <c r="AM141" i="4"/>
  <c r="O146" i="4"/>
  <c r="W146" i="4" s="1"/>
  <c r="V145" i="4"/>
  <c r="H145" i="4"/>
  <c r="AT67" i="4"/>
  <c r="AS67" i="4"/>
  <c r="AP140" i="4"/>
  <c r="AO140" i="4"/>
  <c r="BE136" i="4"/>
  <c r="BF136" i="4"/>
  <c r="N73" i="4"/>
  <c r="R73" i="4" s="1"/>
  <c r="S73" i="4" s="1"/>
  <c r="M74" i="4" s="1"/>
  <c r="AY65" i="4"/>
  <c r="AZ65" i="4"/>
  <c r="AF143" i="4"/>
  <c r="AE143" i="4"/>
  <c r="P146" i="4"/>
  <c r="J146" i="4" s="1"/>
  <c r="AB144" i="4"/>
  <c r="AA144" i="4"/>
  <c r="K145" i="4"/>
  <c r="E145" i="4"/>
  <c r="B145" i="4"/>
  <c r="C145" i="4"/>
  <c r="F145" i="4"/>
  <c r="G145" i="4" s="1"/>
  <c r="L145" i="4"/>
  <c r="Y145" i="4"/>
  <c r="D145" i="4"/>
  <c r="AX138" i="4"/>
  <c r="AW138" i="4"/>
  <c r="BD64" i="4"/>
  <c r="BC64" i="4"/>
  <c r="AU139" i="4"/>
  <c r="AV139" i="4"/>
  <c r="AW66" i="4"/>
  <c r="AX66" i="4"/>
  <c r="BA137" i="4"/>
  <c r="BB137" i="4"/>
  <c r="V72" i="4"/>
  <c r="H72" i="4"/>
  <c r="Q146" i="4"/>
  <c r="I146" i="4" s="1"/>
  <c r="X135" i="4" l="1"/>
  <c r="N74" i="4"/>
  <c r="R74" i="4" s="1"/>
  <c r="S74" i="4" s="1"/>
  <c r="M75" i="4" s="1"/>
  <c r="O73" i="4"/>
  <c r="W73" i="4" s="1"/>
  <c r="BH136" i="4"/>
  <c r="BI136" i="4" s="1"/>
  <c r="BG136" i="4"/>
  <c r="V146" i="4"/>
  <c r="H146" i="4"/>
  <c r="AK142" i="4"/>
  <c r="AL142" i="4"/>
  <c r="Z72" i="4"/>
  <c r="AP68" i="4"/>
  <c r="AO68" i="4"/>
  <c r="AW139" i="4"/>
  <c r="AX139" i="4"/>
  <c r="AY66" i="4"/>
  <c r="AZ66" i="4"/>
  <c r="AH143" i="4"/>
  <c r="AG143" i="4"/>
  <c r="P73" i="4"/>
  <c r="J73" i="4" s="1"/>
  <c r="AU67" i="4"/>
  <c r="AV67" i="4"/>
  <c r="D146" i="4"/>
  <c r="K146" i="4"/>
  <c r="Y146" i="4"/>
  <c r="L146" i="4"/>
  <c r="F146" i="4"/>
  <c r="G146" i="4" s="1"/>
  <c r="B146" i="4"/>
  <c r="E146" i="4"/>
  <c r="C146" i="4"/>
  <c r="BC137" i="4"/>
  <c r="BD137" i="4"/>
  <c r="AZ138" i="4"/>
  <c r="AY138" i="4"/>
  <c r="BE64" i="4"/>
  <c r="BF64" i="4"/>
  <c r="Z145" i="4"/>
  <c r="AD144" i="4"/>
  <c r="AC144" i="4"/>
  <c r="BB65" i="4"/>
  <c r="BA65" i="4"/>
  <c r="AL69" i="4"/>
  <c r="AK69" i="4"/>
  <c r="AD71" i="4"/>
  <c r="AC71" i="4"/>
  <c r="AI70" i="4"/>
  <c r="AJ70" i="4"/>
  <c r="Q73" i="4"/>
  <c r="I73" i="4" s="1"/>
  <c r="A73" i="4"/>
  <c r="U73" i="4"/>
  <c r="AR140" i="4"/>
  <c r="AQ140" i="4"/>
  <c r="AO141" i="4"/>
  <c r="AP141" i="4"/>
  <c r="N147" i="4"/>
  <c r="R147" i="4" s="1"/>
  <c r="S147" i="4" s="1"/>
  <c r="M148" i="4" s="1"/>
  <c r="X136" i="4" l="1"/>
  <c r="N148" i="4"/>
  <c r="R148" i="4" s="1"/>
  <c r="S148" i="4" s="1"/>
  <c r="M149" i="4" s="1"/>
  <c r="N75" i="4"/>
  <c r="Q75" i="4" s="1"/>
  <c r="I75" i="4" s="1"/>
  <c r="Q147" i="4"/>
  <c r="I147" i="4" s="1"/>
  <c r="AT140" i="4"/>
  <c r="AS140" i="4"/>
  <c r="P147" i="4"/>
  <c r="J147" i="4" s="1"/>
  <c r="AE71" i="4"/>
  <c r="AF71" i="4"/>
  <c r="AB145" i="4"/>
  <c r="AA145" i="4"/>
  <c r="AL70" i="4"/>
  <c r="AK70" i="4"/>
  <c r="BH64" i="4"/>
  <c r="BI64" i="4" s="1"/>
  <c r="BG64" i="4"/>
  <c r="BE137" i="4"/>
  <c r="BF137" i="4"/>
  <c r="AA72" i="4"/>
  <c r="AB72" i="4"/>
  <c r="O74" i="4"/>
  <c r="W74" i="4" s="1"/>
  <c r="D73" i="4"/>
  <c r="B73" i="4"/>
  <c r="Y73" i="4"/>
  <c r="F73" i="4"/>
  <c r="G73" i="4" s="1"/>
  <c r="K73" i="4"/>
  <c r="C73" i="4"/>
  <c r="L73" i="4"/>
  <c r="E73" i="4"/>
  <c r="AM69" i="4"/>
  <c r="AN69" i="4"/>
  <c r="AE144" i="4"/>
  <c r="AF144" i="4"/>
  <c r="BA66" i="4"/>
  <c r="BB66" i="4"/>
  <c r="AM142" i="4"/>
  <c r="AN142" i="4"/>
  <c r="P74" i="4"/>
  <c r="J74" i="4" s="1"/>
  <c r="AQ68" i="4"/>
  <c r="AR68" i="4"/>
  <c r="O147" i="4"/>
  <c r="W147" i="4" s="1"/>
  <c r="A147" i="4"/>
  <c r="U147" i="4"/>
  <c r="AR141" i="4"/>
  <c r="AQ141" i="4"/>
  <c r="BD65" i="4"/>
  <c r="BC65" i="4"/>
  <c r="BB138" i="4"/>
  <c r="BA138" i="4"/>
  <c r="Z146" i="4"/>
  <c r="AX67" i="4"/>
  <c r="AW67" i="4"/>
  <c r="AI143" i="4"/>
  <c r="AJ143" i="4"/>
  <c r="AZ139" i="4"/>
  <c r="AY139" i="4"/>
  <c r="V73" i="4"/>
  <c r="H73" i="4"/>
  <c r="Q74" i="4"/>
  <c r="I74" i="4" s="1"/>
  <c r="U74" i="4"/>
  <c r="A74" i="4"/>
  <c r="X64" i="4" l="1"/>
  <c r="R75" i="4"/>
  <c r="S75" i="4" s="1"/>
  <c r="M76" i="4" s="1"/>
  <c r="N76" i="4" s="1"/>
  <c r="R76" i="4" s="1"/>
  <c r="S76" i="4" s="1"/>
  <c r="M77" i="4" s="1"/>
  <c r="N149" i="4"/>
  <c r="BB139" i="4"/>
  <c r="BA139" i="4"/>
  <c r="BD138" i="4"/>
  <c r="BC138" i="4"/>
  <c r="K74" i="4"/>
  <c r="C74" i="4"/>
  <c r="D74" i="4"/>
  <c r="L74" i="4"/>
  <c r="B74" i="4"/>
  <c r="Y74" i="4"/>
  <c r="Z74" i="4" s="1"/>
  <c r="E74" i="4"/>
  <c r="F74" i="4"/>
  <c r="G74" i="4" s="1"/>
  <c r="AK143" i="4"/>
  <c r="AL143" i="4"/>
  <c r="AT68" i="4"/>
  <c r="AS68" i="4"/>
  <c r="AB146" i="4"/>
  <c r="AA146" i="4"/>
  <c r="BF65" i="4"/>
  <c r="BE65" i="4"/>
  <c r="BD66" i="4"/>
  <c r="BC66" i="4"/>
  <c r="AP69" i="4"/>
  <c r="AO69" i="4"/>
  <c r="AC72" i="4"/>
  <c r="AD72" i="4"/>
  <c r="P75" i="4"/>
  <c r="J75" i="4" s="1"/>
  <c r="Q148" i="4"/>
  <c r="I148" i="4" s="1"/>
  <c r="AY67" i="4"/>
  <c r="AZ67" i="4"/>
  <c r="AP142" i="4"/>
  <c r="AO142" i="4"/>
  <c r="L147" i="4"/>
  <c r="K147" i="4"/>
  <c r="C147" i="4"/>
  <c r="D147" i="4"/>
  <c r="Y147" i="4"/>
  <c r="Z147" i="4" s="1"/>
  <c r="E147" i="4"/>
  <c r="F147" i="4"/>
  <c r="G147" i="4" s="1"/>
  <c r="B147" i="4"/>
  <c r="AD145" i="4"/>
  <c r="AC145" i="4"/>
  <c r="AT141" i="4"/>
  <c r="AS141" i="4"/>
  <c r="AG144" i="4"/>
  <c r="AH144" i="4"/>
  <c r="BH137" i="4"/>
  <c r="BI137" i="4" s="1"/>
  <c r="BG137" i="4"/>
  <c r="AG71" i="4"/>
  <c r="AH71" i="4"/>
  <c r="AV140" i="4"/>
  <c r="AU140" i="4"/>
  <c r="P148" i="4"/>
  <c r="J148" i="4" s="1"/>
  <c r="A148" i="4"/>
  <c r="U148" i="4"/>
  <c r="H147" i="4"/>
  <c r="V147" i="4"/>
  <c r="Z73" i="4"/>
  <c r="V74" i="4"/>
  <c r="H74" i="4"/>
  <c r="AN70" i="4"/>
  <c r="AM70" i="4"/>
  <c r="O75" i="4"/>
  <c r="W75" i="4" s="1"/>
  <c r="U75" i="4"/>
  <c r="A75" i="4"/>
  <c r="O148" i="4"/>
  <c r="W148" i="4" s="1"/>
  <c r="X137" i="4" l="1"/>
  <c r="O76" i="4"/>
  <c r="V76" i="4" s="1"/>
  <c r="N77" i="4"/>
  <c r="R77" i="4" s="1"/>
  <c r="S77" i="4" s="1"/>
  <c r="M78" i="4" s="1"/>
  <c r="AW140" i="4"/>
  <c r="AX140" i="4"/>
  <c r="AU141" i="4"/>
  <c r="AV141" i="4"/>
  <c r="BE66" i="4"/>
  <c r="BF66" i="4"/>
  <c r="AC146" i="4"/>
  <c r="AD146" i="4"/>
  <c r="BD139" i="4"/>
  <c r="BC139" i="4"/>
  <c r="R149" i="4"/>
  <c r="S149" i="4" s="1"/>
  <c r="M150" i="4" s="1"/>
  <c r="U149" i="4"/>
  <c r="A149" i="4"/>
  <c r="Y75" i="4"/>
  <c r="K75" i="4"/>
  <c r="C75" i="4"/>
  <c r="L75" i="4"/>
  <c r="F75" i="4"/>
  <c r="G75" i="4" s="1"/>
  <c r="B75" i="4"/>
  <c r="D75" i="4"/>
  <c r="E75" i="4"/>
  <c r="F148" i="4"/>
  <c r="G148" i="4" s="1"/>
  <c r="C148" i="4"/>
  <c r="D148" i="4"/>
  <c r="Y148" i="4"/>
  <c r="Z148" i="4" s="1"/>
  <c r="L148" i="4"/>
  <c r="B148" i="4"/>
  <c r="E148" i="4"/>
  <c r="K148" i="4"/>
  <c r="AJ71" i="4"/>
  <c r="AI71" i="4"/>
  <c r="AJ144" i="4"/>
  <c r="AI144" i="4"/>
  <c r="AR142" i="4"/>
  <c r="AQ142" i="4"/>
  <c r="O149" i="4"/>
  <c r="W149" i="4" s="1"/>
  <c r="AA73" i="4"/>
  <c r="AB73" i="4"/>
  <c r="Q76" i="4"/>
  <c r="I76" i="4" s="1"/>
  <c r="A76" i="4"/>
  <c r="U76" i="4"/>
  <c r="AE145" i="4"/>
  <c r="AF145" i="4"/>
  <c r="BB67" i="4"/>
  <c r="BA67" i="4"/>
  <c r="AR69" i="4"/>
  <c r="AQ69" i="4"/>
  <c r="BH65" i="4"/>
  <c r="BI65" i="4" s="1"/>
  <c r="BG65" i="4"/>
  <c r="AV68" i="4"/>
  <c r="AU68" i="4"/>
  <c r="BE138" i="4"/>
  <c r="BF138" i="4"/>
  <c r="Q149" i="4"/>
  <c r="I149" i="4" s="1"/>
  <c r="AP70" i="4"/>
  <c r="AO70" i="4"/>
  <c r="V148" i="4"/>
  <c r="H148" i="4"/>
  <c r="H75" i="4"/>
  <c r="V75" i="4"/>
  <c r="P76" i="4"/>
  <c r="J76" i="4" s="1"/>
  <c r="AA147" i="4"/>
  <c r="AB147" i="4"/>
  <c r="AE72" i="4"/>
  <c r="AF72" i="4"/>
  <c r="AN143" i="4"/>
  <c r="AM143" i="4"/>
  <c r="AB74" i="4"/>
  <c r="AA74" i="4"/>
  <c r="P149" i="4"/>
  <c r="J149" i="4" s="1"/>
  <c r="W76" i="4" l="1"/>
  <c r="H76" i="4"/>
  <c r="X65" i="4"/>
  <c r="N78" i="4"/>
  <c r="P78" i="4" s="1"/>
  <c r="J78" i="4" s="1"/>
  <c r="BH138" i="4"/>
  <c r="BI138" i="4" s="1"/>
  <c r="BG138" i="4"/>
  <c r="AO143" i="4"/>
  <c r="AP143" i="4"/>
  <c r="AD147" i="4"/>
  <c r="AC147" i="4"/>
  <c r="BD67" i="4"/>
  <c r="BC67" i="4"/>
  <c r="AB148" i="4"/>
  <c r="AA148" i="4"/>
  <c r="K149" i="4"/>
  <c r="E149" i="4"/>
  <c r="B149" i="4"/>
  <c r="F149" i="4"/>
  <c r="G149" i="4" s="1"/>
  <c r="Y149" i="4"/>
  <c r="C149" i="4"/>
  <c r="D149" i="4"/>
  <c r="L149" i="4"/>
  <c r="BG66" i="4"/>
  <c r="BH66" i="4"/>
  <c r="BI66" i="4" s="1"/>
  <c r="AY140" i="4"/>
  <c r="AZ140" i="4"/>
  <c r="AQ70" i="4"/>
  <c r="AR70" i="4"/>
  <c r="AH145" i="4"/>
  <c r="AG145" i="4"/>
  <c r="F76" i="4"/>
  <c r="G76" i="4" s="1"/>
  <c r="E76" i="4"/>
  <c r="B76" i="4"/>
  <c r="D76" i="4"/>
  <c r="Y76" i="4"/>
  <c r="C76" i="4"/>
  <c r="K76" i="4"/>
  <c r="L76" i="4"/>
  <c r="V149" i="4"/>
  <c r="H149" i="4"/>
  <c r="AK144" i="4"/>
  <c r="AL144" i="4"/>
  <c r="BF139" i="4"/>
  <c r="BE139" i="4"/>
  <c r="O77" i="4"/>
  <c r="W77" i="4" s="1"/>
  <c r="U77" i="4"/>
  <c r="A77" i="4"/>
  <c r="AD74" i="4"/>
  <c r="AC74" i="4"/>
  <c r="AH72" i="4"/>
  <c r="AG72" i="4"/>
  <c r="AW68" i="4"/>
  <c r="AX68" i="4"/>
  <c r="AS69" i="4"/>
  <c r="AT69" i="4"/>
  <c r="AF146" i="4"/>
  <c r="AE146" i="4"/>
  <c r="AW141" i="4"/>
  <c r="AX141" i="4"/>
  <c r="Q77" i="4"/>
  <c r="I77" i="4" s="1"/>
  <c r="AC73" i="4"/>
  <c r="AD73" i="4"/>
  <c r="AS142" i="4"/>
  <c r="AT142" i="4"/>
  <c r="AK71" i="4"/>
  <c r="AL71" i="4"/>
  <c r="Z75" i="4"/>
  <c r="N150" i="4"/>
  <c r="P150" i="4" s="1"/>
  <c r="J150" i="4" s="1"/>
  <c r="P77" i="4"/>
  <c r="J77" i="4" s="1"/>
  <c r="X138" i="4" l="1"/>
  <c r="R150" i="4"/>
  <c r="S150" i="4" s="1"/>
  <c r="M151" i="4" s="1"/>
  <c r="AG146" i="4"/>
  <c r="AH146" i="4"/>
  <c r="AJ72" i="4"/>
  <c r="AI72" i="4"/>
  <c r="F77" i="4"/>
  <c r="G77" i="4" s="1"/>
  <c r="K77" i="4"/>
  <c r="Y77" i="4"/>
  <c r="Z77" i="4" s="1"/>
  <c r="C77" i="4"/>
  <c r="L77" i="4"/>
  <c r="E77" i="4"/>
  <c r="D77" i="4"/>
  <c r="B77" i="4"/>
  <c r="BG139" i="4"/>
  <c r="BH139" i="4"/>
  <c r="BI139" i="4" s="1"/>
  <c r="Z76" i="4"/>
  <c r="X66" i="4"/>
  <c r="Z149" i="4"/>
  <c r="AQ143" i="4"/>
  <c r="AR143" i="4"/>
  <c r="O78" i="4"/>
  <c r="W78" i="4" s="1"/>
  <c r="U150" i="4"/>
  <c r="A150" i="4"/>
  <c r="O150" i="4"/>
  <c r="W150" i="4" s="1"/>
  <c r="AU142" i="4"/>
  <c r="AV142" i="4"/>
  <c r="Q150" i="4"/>
  <c r="I150" i="4" s="1"/>
  <c r="AA75" i="4"/>
  <c r="AB75" i="4"/>
  <c r="AZ141" i="4"/>
  <c r="AY141" i="4"/>
  <c r="AZ68" i="4"/>
  <c r="AY68" i="4"/>
  <c r="AM144" i="4"/>
  <c r="AN144" i="4"/>
  <c r="BB140" i="4"/>
  <c r="BA140" i="4"/>
  <c r="BF67" i="4"/>
  <c r="BE67" i="4"/>
  <c r="R78" i="4"/>
  <c r="S78" i="4" s="1"/>
  <c r="M79" i="4" s="1"/>
  <c r="AM71" i="4"/>
  <c r="AN71" i="4"/>
  <c r="AF73" i="4"/>
  <c r="AE73" i="4"/>
  <c r="AE74" i="4"/>
  <c r="AF74" i="4"/>
  <c r="V77" i="4"/>
  <c r="H77" i="4"/>
  <c r="AI145" i="4"/>
  <c r="AJ145" i="4"/>
  <c r="AC148" i="4"/>
  <c r="AD148" i="4"/>
  <c r="AV69" i="4"/>
  <c r="AU69" i="4"/>
  <c r="AS70" i="4"/>
  <c r="AT70" i="4"/>
  <c r="AE147" i="4"/>
  <c r="AF147" i="4"/>
  <c r="Q78" i="4"/>
  <c r="I78" i="4" s="1"/>
  <c r="A78" i="4"/>
  <c r="U78" i="4"/>
  <c r="X139" i="4" l="1"/>
  <c r="AH147" i="4"/>
  <c r="AG147" i="4"/>
  <c r="N79" i="4"/>
  <c r="BC140" i="4"/>
  <c r="BD140" i="4"/>
  <c r="BA68" i="4"/>
  <c r="BB68" i="4"/>
  <c r="H150" i="4"/>
  <c r="V150" i="4"/>
  <c r="V78" i="4"/>
  <c r="H78" i="4"/>
  <c r="AB149" i="4"/>
  <c r="AA149" i="4"/>
  <c r="AJ146" i="4"/>
  <c r="AI146" i="4"/>
  <c r="AH73" i="4"/>
  <c r="AG73" i="4"/>
  <c r="AP144" i="4"/>
  <c r="AO144" i="4"/>
  <c r="AT143" i="4"/>
  <c r="AS143" i="4"/>
  <c r="AU70" i="4"/>
  <c r="AV70" i="4"/>
  <c r="AL145" i="4"/>
  <c r="AK145" i="4"/>
  <c r="AH74" i="4"/>
  <c r="AG74" i="4"/>
  <c r="AP71" i="4"/>
  <c r="AO71" i="4"/>
  <c r="BG67" i="4"/>
  <c r="BH67" i="4"/>
  <c r="BI67" i="4" s="1"/>
  <c r="BB141" i="4"/>
  <c r="BA141" i="4"/>
  <c r="AX142" i="4"/>
  <c r="AW142" i="4"/>
  <c r="Y150" i="4"/>
  <c r="K150" i="4"/>
  <c r="L150" i="4"/>
  <c r="C150" i="4"/>
  <c r="B150" i="4"/>
  <c r="D150" i="4"/>
  <c r="F150" i="4"/>
  <c r="G150" i="4" s="1"/>
  <c r="E150" i="4"/>
  <c r="N151" i="4"/>
  <c r="O151" i="4" s="1"/>
  <c r="B78" i="4"/>
  <c r="C78" i="4"/>
  <c r="F78" i="4"/>
  <c r="G78" i="4" s="1"/>
  <c r="Y78" i="4"/>
  <c r="Z78" i="4" s="1"/>
  <c r="L78" i="4"/>
  <c r="K78" i="4"/>
  <c r="E78" i="4"/>
  <c r="D78" i="4"/>
  <c r="AW69" i="4"/>
  <c r="AX69" i="4"/>
  <c r="AE148" i="4"/>
  <c r="AF148" i="4"/>
  <c r="AD75" i="4"/>
  <c r="AC75" i="4"/>
  <c r="AB76" i="4"/>
  <c r="AA76" i="4"/>
  <c r="AA77" i="4"/>
  <c r="AB77" i="4"/>
  <c r="AK72" i="4"/>
  <c r="AL72" i="4"/>
  <c r="R151" i="4" l="1"/>
  <c r="S151" i="4" s="1"/>
  <c r="M152" i="4" s="1"/>
  <c r="N152" i="4" s="1"/>
  <c r="P152" i="4" s="1"/>
  <c r="J152" i="4" s="1"/>
  <c r="V151" i="4"/>
  <c r="H151" i="4"/>
  <c r="AW70" i="4"/>
  <c r="AX70" i="4"/>
  <c r="P79" i="4"/>
  <c r="J79" i="4" s="1"/>
  <c r="U79" i="4"/>
  <c r="A79" i="4"/>
  <c r="AC76" i="4"/>
  <c r="AD76" i="4"/>
  <c r="AA78" i="4"/>
  <c r="AB78" i="4"/>
  <c r="Q151" i="4"/>
  <c r="I151" i="4" s="1"/>
  <c r="AY142" i="4"/>
  <c r="AZ142" i="4"/>
  <c r="X67" i="4"/>
  <c r="AI74" i="4"/>
  <c r="AJ74" i="4"/>
  <c r="AQ144" i="4"/>
  <c r="AR144" i="4"/>
  <c r="AK146" i="4"/>
  <c r="AL146" i="4"/>
  <c r="BC68" i="4"/>
  <c r="BD68" i="4"/>
  <c r="R79" i="4"/>
  <c r="S79" i="4" s="1"/>
  <c r="M80" i="4" s="1"/>
  <c r="AG148" i="4"/>
  <c r="AH148" i="4"/>
  <c r="AC77" i="4"/>
  <c r="AD77" i="4"/>
  <c r="AZ69" i="4"/>
  <c r="AY69" i="4"/>
  <c r="Q79" i="4"/>
  <c r="I79" i="4" s="1"/>
  <c r="AJ147" i="4"/>
  <c r="AI147" i="4"/>
  <c r="AN72" i="4"/>
  <c r="AM72" i="4"/>
  <c r="AE75" i="4"/>
  <c r="AF75" i="4"/>
  <c r="P151" i="4"/>
  <c r="J151" i="4" s="1"/>
  <c r="W151" i="4"/>
  <c r="A151" i="4"/>
  <c r="U151" i="4"/>
  <c r="Z150" i="4"/>
  <c r="BC141" i="4"/>
  <c r="BD141" i="4"/>
  <c r="AR71" i="4"/>
  <c r="AQ71" i="4"/>
  <c r="AM145" i="4"/>
  <c r="AN145" i="4"/>
  <c r="AV143" i="4"/>
  <c r="AU143" i="4"/>
  <c r="AJ73" i="4"/>
  <c r="AI73" i="4"/>
  <c r="AC149" i="4"/>
  <c r="AD149" i="4"/>
  <c r="BF140" i="4"/>
  <c r="BE140" i="4"/>
  <c r="O79" i="4"/>
  <c r="W79" i="4" s="1"/>
  <c r="AT71" i="4" l="1"/>
  <c r="AS71" i="4"/>
  <c r="BG140" i="4"/>
  <c r="BH140" i="4"/>
  <c r="BI140" i="4" s="1"/>
  <c r="B151" i="4"/>
  <c r="D151" i="4"/>
  <c r="E151" i="4"/>
  <c r="C151" i="4"/>
  <c r="F151" i="4"/>
  <c r="G151" i="4" s="1"/>
  <c r="Y151" i="4"/>
  <c r="K151" i="4"/>
  <c r="L151" i="4"/>
  <c r="AJ148" i="4"/>
  <c r="AI148" i="4"/>
  <c r="BA142" i="4"/>
  <c r="BB142" i="4"/>
  <c r="R152" i="4"/>
  <c r="S152" i="4" s="1"/>
  <c r="M153" i="4" s="1"/>
  <c r="AX143" i="4"/>
  <c r="AW143" i="4"/>
  <c r="AB150" i="4"/>
  <c r="AA150" i="4"/>
  <c r="AE77" i="4"/>
  <c r="AF77" i="4"/>
  <c r="AP145" i="4"/>
  <c r="AO145" i="4"/>
  <c r="AL73" i="4"/>
  <c r="AK73" i="4"/>
  <c r="AE149" i="4"/>
  <c r="AF149" i="4"/>
  <c r="AK147" i="4"/>
  <c r="AL147" i="4"/>
  <c r="BA69" i="4"/>
  <c r="BB69" i="4"/>
  <c r="AM146" i="4"/>
  <c r="AN146" i="4"/>
  <c r="AK74" i="4"/>
  <c r="AL74" i="4"/>
  <c r="AE76" i="4"/>
  <c r="AF76" i="4"/>
  <c r="AY70" i="4"/>
  <c r="AZ70" i="4"/>
  <c r="N80" i="4"/>
  <c r="P80" i="4" s="1"/>
  <c r="J80" i="4" s="1"/>
  <c r="O152" i="4"/>
  <c r="W152" i="4" s="1"/>
  <c r="A152" i="4"/>
  <c r="U152" i="4"/>
  <c r="V79" i="4"/>
  <c r="H79" i="4"/>
  <c r="BE141" i="4"/>
  <c r="BF141" i="4"/>
  <c r="AH75" i="4"/>
  <c r="AG75" i="4"/>
  <c r="AP72" i="4"/>
  <c r="AO72" i="4"/>
  <c r="BF68" i="4"/>
  <c r="BE68" i="4"/>
  <c r="AS144" i="4"/>
  <c r="AT144" i="4"/>
  <c r="AD78" i="4"/>
  <c r="AC78" i="4"/>
  <c r="E79" i="4"/>
  <c r="C79" i="4"/>
  <c r="L79" i="4"/>
  <c r="F79" i="4"/>
  <c r="G79" i="4" s="1"/>
  <c r="B79" i="4"/>
  <c r="Y79" i="4"/>
  <c r="D79" i="4"/>
  <c r="K79" i="4"/>
  <c r="Q152" i="4"/>
  <c r="I152" i="4" s="1"/>
  <c r="X140" i="4" l="1"/>
  <c r="O80" i="4"/>
  <c r="H80" i="4" s="1"/>
  <c r="AR72" i="4"/>
  <c r="AQ72" i="4"/>
  <c r="E152" i="4"/>
  <c r="Y152" i="4"/>
  <c r="K152" i="4"/>
  <c r="D152" i="4"/>
  <c r="L152" i="4"/>
  <c r="F152" i="4"/>
  <c r="G152" i="4" s="1"/>
  <c r="B152" i="4"/>
  <c r="C152" i="4"/>
  <c r="Q80" i="4"/>
  <c r="I80" i="4" s="1"/>
  <c r="BB70" i="4"/>
  <c r="BA70" i="4"/>
  <c r="AN74" i="4"/>
  <c r="AM74" i="4"/>
  <c r="BD69" i="4"/>
  <c r="BC69" i="4"/>
  <c r="AG149" i="4"/>
  <c r="AH149" i="4"/>
  <c r="N153" i="4"/>
  <c r="R153" i="4" s="1"/>
  <c r="S153" i="4" s="1"/>
  <c r="M154" i="4" s="1"/>
  <c r="AK148" i="4"/>
  <c r="AL148" i="4"/>
  <c r="AV71" i="4"/>
  <c r="AU71" i="4"/>
  <c r="R80" i="4"/>
  <c r="S80" i="4" s="1"/>
  <c r="M81" i="4" s="1"/>
  <c r="AQ145" i="4"/>
  <c r="AR145" i="4"/>
  <c r="AC150" i="4"/>
  <c r="AD150" i="4"/>
  <c r="BC142" i="4"/>
  <c r="BD142" i="4"/>
  <c r="AF78" i="4"/>
  <c r="AE78" i="4"/>
  <c r="BG68" i="4"/>
  <c r="BH68" i="4"/>
  <c r="BI68" i="4" s="1"/>
  <c r="AI75" i="4"/>
  <c r="AJ75" i="4"/>
  <c r="V152" i="4"/>
  <c r="H152" i="4"/>
  <c r="AG76" i="4"/>
  <c r="AH76" i="4"/>
  <c r="AO146" i="4"/>
  <c r="AP146" i="4"/>
  <c r="AN147" i="4"/>
  <c r="AM147" i="4"/>
  <c r="AH77" i="4"/>
  <c r="AG77" i="4"/>
  <c r="Z79" i="4"/>
  <c r="AV144" i="4"/>
  <c r="AU144" i="4"/>
  <c r="BG141" i="4"/>
  <c r="BH141" i="4"/>
  <c r="BI141" i="4" s="1"/>
  <c r="A80" i="4"/>
  <c r="U80" i="4"/>
  <c r="AN73" i="4"/>
  <c r="AM73" i="4"/>
  <c r="AZ143" i="4"/>
  <c r="AY143" i="4"/>
  <c r="Z151" i="4"/>
  <c r="W80" i="4" l="1"/>
  <c r="V80" i="4"/>
  <c r="X141" i="4"/>
  <c r="X68" i="4"/>
  <c r="N154" i="4"/>
  <c r="Q154" i="4" s="1"/>
  <c r="I154" i="4" s="1"/>
  <c r="BB143" i="4"/>
  <c r="BA143" i="4"/>
  <c r="AA151" i="4"/>
  <c r="AB151" i="4"/>
  <c r="AW144" i="4"/>
  <c r="AX144" i="4"/>
  <c r="AJ77" i="4"/>
  <c r="AI77" i="4"/>
  <c r="AM148" i="4"/>
  <c r="AN148" i="4"/>
  <c r="AP74" i="4"/>
  <c r="AO74" i="4"/>
  <c r="AL75" i="4"/>
  <c r="AK75" i="4"/>
  <c r="AE150" i="4"/>
  <c r="AF150" i="4"/>
  <c r="N81" i="4"/>
  <c r="Q81" i="4" s="1"/>
  <c r="I81" i="4" s="1"/>
  <c r="P153" i="4"/>
  <c r="J153" i="4" s="1"/>
  <c r="U153" i="4"/>
  <c r="A153" i="4"/>
  <c r="AS72" i="4"/>
  <c r="AT72" i="4"/>
  <c r="Y80" i="4"/>
  <c r="K80" i="4"/>
  <c r="L80" i="4"/>
  <c r="F80" i="4"/>
  <c r="G80" i="4" s="1"/>
  <c r="D80" i="4"/>
  <c r="B80" i="4"/>
  <c r="C80" i="4"/>
  <c r="E80" i="4"/>
  <c r="AB79" i="4"/>
  <c r="AA79" i="4"/>
  <c r="AP147" i="4"/>
  <c r="AO147" i="4"/>
  <c r="AG78" i="4"/>
  <c r="AH78" i="4"/>
  <c r="Q153" i="4"/>
  <c r="I153" i="4" s="1"/>
  <c r="BE69" i="4"/>
  <c r="BF69" i="4"/>
  <c r="BC70" i="4"/>
  <c r="BD70" i="4"/>
  <c r="Z152" i="4"/>
  <c r="AI76" i="4"/>
  <c r="AJ76" i="4"/>
  <c r="AP73" i="4"/>
  <c r="AO73" i="4"/>
  <c r="AR146" i="4"/>
  <c r="AQ146" i="4"/>
  <c r="BE142" i="4"/>
  <c r="BF142" i="4"/>
  <c r="AT145" i="4"/>
  <c r="AS145" i="4"/>
  <c r="AW71" i="4"/>
  <c r="AX71" i="4"/>
  <c r="O153" i="4"/>
  <c r="W153" i="4" s="1"/>
  <c r="AI149" i="4"/>
  <c r="AJ149" i="4"/>
  <c r="O154" i="4" l="1"/>
  <c r="V154" i="4" s="1"/>
  <c r="P81" i="4"/>
  <c r="J81" i="4" s="1"/>
  <c r="AU145" i="4"/>
  <c r="AV145" i="4"/>
  <c r="AK76" i="4"/>
  <c r="AL76" i="4"/>
  <c r="BF70" i="4"/>
  <c r="BE70" i="4"/>
  <c r="AQ147" i="4"/>
  <c r="AR147" i="4"/>
  <c r="AO148" i="4"/>
  <c r="AP148" i="4"/>
  <c r="AZ144" i="4"/>
  <c r="AY144" i="4"/>
  <c r="V153" i="4"/>
  <c r="H153" i="4"/>
  <c r="U81" i="4"/>
  <c r="A81" i="4"/>
  <c r="AN75" i="4"/>
  <c r="AM75" i="4"/>
  <c r="BC143" i="4"/>
  <c r="BD143" i="4"/>
  <c r="U154" i="4"/>
  <c r="A154" i="4"/>
  <c r="AZ71" i="4"/>
  <c r="AY71" i="4"/>
  <c r="BG142" i="4"/>
  <c r="BH142" i="4"/>
  <c r="BI142" i="4" s="1"/>
  <c r="BH69" i="4"/>
  <c r="BI69" i="4" s="1"/>
  <c r="BG69" i="4"/>
  <c r="AD79" i="4"/>
  <c r="AC79" i="4"/>
  <c r="Z80" i="4"/>
  <c r="O81" i="4"/>
  <c r="W81" i="4" s="1"/>
  <c r="AH150" i="4"/>
  <c r="AG150" i="4"/>
  <c r="AC151" i="4"/>
  <c r="AD151" i="4"/>
  <c r="R154" i="4"/>
  <c r="S154" i="4" s="1"/>
  <c r="M155" i="4" s="1"/>
  <c r="AT146" i="4"/>
  <c r="AS146" i="4"/>
  <c r="AI78" i="4"/>
  <c r="AJ78" i="4"/>
  <c r="C153" i="4"/>
  <c r="L153" i="4"/>
  <c r="E153" i="4"/>
  <c r="F153" i="4"/>
  <c r="G153" i="4" s="1"/>
  <c r="K153" i="4"/>
  <c r="B153" i="4"/>
  <c r="D153" i="4"/>
  <c r="Y153" i="4"/>
  <c r="AL149" i="4"/>
  <c r="AK149" i="4"/>
  <c r="AQ73" i="4"/>
  <c r="AR73" i="4"/>
  <c r="AB152" i="4"/>
  <c r="AA152" i="4"/>
  <c r="AU72" i="4"/>
  <c r="AV72" i="4"/>
  <c r="R81" i="4"/>
  <c r="S81" i="4" s="1"/>
  <c r="M82" i="4" s="1"/>
  <c r="AQ74" i="4"/>
  <c r="AR74" i="4"/>
  <c r="AK77" i="4"/>
  <c r="AL77" i="4"/>
  <c r="P154" i="4"/>
  <c r="J154" i="4" s="1"/>
  <c r="W154" i="4" l="1"/>
  <c r="H154" i="4"/>
  <c r="X69" i="4"/>
  <c r="X142" i="4"/>
  <c r="AN77" i="4"/>
  <c r="AM77" i="4"/>
  <c r="AS73" i="4"/>
  <c r="AT73" i="4"/>
  <c r="AL78" i="4"/>
  <c r="AK78" i="4"/>
  <c r="N155" i="4"/>
  <c r="Q155" i="4" s="1"/>
  <c r="I155" i="4" s="1"/>
  <c r="AI150" i="4"/>
  <c r="AJ150" i="4"/>
  <c r="F154" i="4"/>
  <c r="G154" i="4" s="1"/>
  <c r="L154" i="4"/>
  <c r="D154" i="4"/>
  <c r="C154" i="4"/>
  <c r="Y154" i="4"/>
  <c r="E154" i="4"/>
  <c r="K154" i="4"/>
  <c r="B154" i="4"/>
  <c r="AP75" i="4"/>
  <c r="AO75" i="4"/>
  <c r="BB144" i="4"/>
  <c r="BA144" i="4"/>
  <c r="AX72" i="4"/>
  <c r="AW72" i="4"/>
  <c r="AT74" i="4"/>
  <c r="AS74" i="4"/>
  <c r="AF151" i="4"/>
  <c r="AE151" i="4"/>
  <c r="V81" i="4"/>
  <c r="H81" i="4"/>
  <c r="AE79" i="4"/>
  <c r="AF79" i="4"/>
  <c r="BF143" i="4"/>
  <c r="BE143" i="4"/>
  <c r="AR148" i="4"/>
  <c r="AQ148" i="4"/>
  <c r="AW145" i="4"/>
  <c r="AX145" i="4"/>
  <c r="Z153" i="4"/>
  <c r="E81" i="4"/>
  <c r="L81" i="4"/>
  <c r="D81" i="4"/>
  <c r="C81" i="4"/>
  <c r="B81" i="4"/>
  <c r="K81" i="4"/>
  <c r="F81" i="4"/>
  <c r="G81" i="4" s="1"/>
  <c r="Y81" i="4"/>
  <c r="BG70" i="4"/>
  <c r="BH70" i="4"/>
  <c r="BI70" i="4" s="1"/>
  <c r="N82" i="4"/>
  <c r="P82" i="4" s="1"/>
  <c r="J82" i="4" s="1"/>
  <c r="AD152" i="4"/>
  <c r="AC152" i="4"/>
  <c r="AN149" i="4"/>
  <c r="AM149" i="4"/>
  <c r="AU146" i="4"/>
  <c r="AV146" i="4"/>
  <c r="AA80" i="4"/>
  <c r="AB80" i="4"/>
  <c r="BB71" i="4"/>
  <c r="BA71" i="4"/>
  <c r="AT147" i="4"/>
  <c r="AS147" i="4"/>
  <c r="AM76" i="4"/>
  <c r="AN76" i="4"/>
  <c r="BD71" i="4" l="1"/>
  <c r="BC71" i="4"/>
  <c r="AF152" i="4"/>
  <c r="AE152" i="4"/>
  <c r="AU147" i="4"/>
  <c r="AV147" i="4"/>
  <c r="AP149" i="4"/>
  <c r="AO149" i="4"/>
  <c r="Q82" i="4"/>
  <c r="I82" i="4" s="1"/>
  <c r="X70" i="4"/>
  <c r="AY145" i="4"/>
  <c r="AZ145" i="4"/>
  <c r="AK150" i="4"/>
  <c r="AL150" i="4"/>
  <c r="AU73" i="4"/>
  <c r="AV73" i="4"/>
  <c r="AP76" i="4"/>
  <c r="AO76" i="4"/>
  <c r="AX146" i="4"/>
  <c r="AW146" i="4"/>
  <c r="Z81" i="4"/>
  <c r="BG143" i="4"/>
  <c r="BH143" i="4"/>
  <c r="BI143" i="4" s="1"/>
  <c r="AV74" i="4"/>
  <c r="AU74" i="4"/>
  <c r="BC144" i="4"/>
  <c r="BD144" i="4"/>
  <c r="P155" i="4"/>
  <c r="J155" i="4" s="1"/>
  <c r="A155" i="4"/>
  <c r="U155" i="4"/>
  <c r="O82" i="4"/>
  <c r="W82" i="4" s="1"/>
  <c r="U82" i="4"/>
  <c r="A82" i="4"/>
  <c r="AG79" i="4"/>
  <c r="AH79" i="4"/>
  <c r="R155" i="4"/>
  <c r="S155" i="4" s="1"/>
  <c r="M156" i="4" s="1"/>
  <c r="AC80" i="4"/>
  <c r="AD80" i="4"/>
  <c r="R82" i="4"/>
  <c r="S82" i="4" s="1"/>
  <c r="M83" i="4" s="1"/>
  <c r="AA153" i="4"/>
  <c r="AB153" i="4"/>
  <c r="AS148" i="4"/>
  <c r="AT148" i="4"/>
  <c r="AH151" i="4"/>
  <c r="AG151" i="4"/>
  <c r="AY72" i="4"/>
  <c r="AZ72" i="4"/>
  <c r="AR75" i="4"/>
  <c r="AQ75" i="4"/>
  <c r="Z154" i="4"/>
  <c r="O155" i="4"/>
  <c r="W155" i="4" s="1"/>
  <c r="AN78" i="4"/>
  <c r="AM78" i="4"/>
  <c r="AO77" i="4"/>
  <c r="AP77" i="4"/>
  <c r="X143" i="4" l="1"/>
  <c r="AA154" i="4"/>
  <c r="AB154" i="4"/>
  <c r="AE80" i="4"/>
  <c r="AF80" i="4"/>
  <c r="AI79" i="4"/>
  <c r="AJ79" i="4"/>
  <c r="E155" i="4"/>
  <c r="D155" i="4"/>
  <c r="B155" i="4"/>
  <c r="Y155" i="4"/>
  <c r="C155" i="4"/>
  <c r="F155" i="4"/>
  <c r="G155" i="4" s="1"/>
  <c r="L155" i="4"/>
  <c r="K155" i="4"/>
  <c r="AN150" i="4"/>
  <c r="AM150" i="4"/>
  <c r="AG152" i="4"/>
  <c r="AH152" i="4"/>
  <c r="AT75" i="4"/>
  <c r="AS75" i="4"/>
  <c r="AO78" i="4"/>
  <c r="AP78" i="4"/>
  <c r="AC153" i="4"/>
  <c r="AD153" i="4"/>
  <c r="V82" i="4"/>
  <c r="H82" i="4"/>
  <c r="AX74" i="4"/>
  <c r="AW74" i="4"/>
  <c r="AB81" i="4"/>
  <c r="AA81" i="4"/>
  <c r="AQ76" i="4"/>
  <c r="AR76" i="4"/>
  <c r="AX147" i="4"/>
  <c r="AW147" i="4"/>
  <c r="H155" i="4"/>
  <c r="V155" i="4"/>
  <c r="AI151" i="4"/>
  <c r="AJ151" i="4"/>
  <c r="N156" i="4"/>
  <c r="P156" i="4" s="1"/>
  <c r="J156" i="4" s="1"/>
  <c r="E82" i="4"/>
  <c r="Y82" i="4"/>
  <c r="Z82" i="4" s="1"/>
  <c r="D82" i="4"/>
  <c r="B82" i="4"/>
  <c r="L82" i="4"/>
  <c r="C82" i="4"/>
  <c r="F82" i="4"/>
  <c r="G82" i="4" s="1"/>
  <c r="K82" i="4"/>
  <c r="BF144" i="4"/>
  <c r="BE144" i="4"/>
  <c r="AX73" i="4"/>
  <c r="AW73" i="4"/>
  <c r="BA145" i="4"/>
  <c r="BB145" i="4"/>
  <c r="BF71" i="4"/>
  <c r="BE71" i="4"/>
  <c r="AQ77" i="4"/>
  <c r="AR77" i="4"/>
  <c r="BB72" i="4"/>
  <c r="BA72" i="4"/>
  <c r="AU148" i="4"/>
  <c r="AV148" i="4"/>
  <c r="N83" i="4"/>
  <c r="AY146" i="4"/>
  <c r="AZ146" i="4"/>
  <c r="AR149" i="4"/>
  <c r="AQ149" i="4"/>
  <c r="R83" i="4" l="1"/>
  <c r="S83" i="4" s="1"/>
  <c r="M84" i="4" s="1"/>
  <c r="U83" i="4"/>
  <c r="A83" i="4"/>
  <c r="BD72" i="4"/>
  <c r="BC72" i="4"/>
  <c r="BG71" i="4"/>
  <c r="BH71" i="4"/>
  <c r="BI71" i="4" s="1"/>
  <c r="AZ73" i="4"/>
  <c r="AY73" i="4"/>
  <c r="Q156" i="4"/>
  <c r="I156" i="4" s="1"/>
  <c r="AL151" i="4"/>
  <c r="AK151" i="4"/>
  <c r="AR78" i="4"/>
  <c r="AQ78" i="4"/>
  <c r="AJ152" i="4"/>
  <c r="AI152" i="4"/>
  <c r="Z155" i="4"/>
  <c r="AK79" i="4"/>
  <c r="AL79" i="4"/>
  <c r="AD154" i="4"/>
  <c r="AC154" i="4"/>
  <c r="P83" i="4"/>
  <c r="J83" i="4" s="1"/>
  <c r="O83" i="4"/>
  <c r="W83" i="4" s="1"/>
  <c r="AX148" i="4"/>
  <c r="AW148" i="4"/>
  <c r="AT77" i="4"/>
  <c r="AS77" i="4"/>
  <c r="BC145" i="4"/>
  <c r="BD145" i="4"/>
  <c r="AB82" i="4"/>
  <c r="AA82" i="4"/>
  <c r="AY147" i="4"/>
  <c r="AZ147" i="4"/>
  <c r="AC81" i="4"/>
  <c r="AD81" i="4"/>
  <c r="AT149" i="4"/>
  <c r="AS149" i="4"/>
  <c r="BH144" i="4"/>
  <c r="BI144" i="4" s="1"/>
  <c r="BG144" i="4"/>
  <c r="O156" i="4"/>
  <c r="W156" i="4" s="1"/>
  <c r="U156" i="4"/>
  <c r="A156" i="4"/>
  <c r="AT76" i="4"/>
  <c r="AS76" i="4"/>
  <c r="AF153" i="4"/>
  <c r="AE153" i="4"/>
  <c r="AG80" i="4"/>
  <c r="AH80" i="4"/>
  <c r="BB146" i="4"/>
  <c r="BA146" i="4"/>
  <c r="Q83" i="4"/>
  <c r="I83" i="4" s="1"/>
  <c r="R156" i="4"/>
  <c r="S156" i="4" s="1"/>
  <c r="M157" i="4" s="1"/>
  <c r="AZ74" i="4"/>
  <c r="AY74" i="4"/>
  <c r="AV75" i="4"/>
  <c r="AU75" i="4"/>
  <c r="AP150" i="4"/>
  <c r="AO150" i="4"/>
  <c r="X71" i="4" l="1"/>
  <c r="X144" i="4"/>
  <c r="BB74" i="4"/>
  <c r="BA74" i="4"/>
  <c r="BC146" i="4"/>
  <c r="BD146" i="4"/>
  <c r="AG153" i="4"/>
  <c r="AH153" i="4"/>
  <c r="AE81" i="4"/>
  <c r="AF81" i="4"/>
  <c r="V83" i="4"/>
  <c r="H83" i="4"/>
  <c r="AN79" i="4"/>
  <c r="AM79" i="4"/>
  <c r="AD82" i="4"/>
  <c r="AC82" i="4"/>
  <c r="AV77" i="4"/>
  <c r="AU77" i="4"/>
  <c r="AL152" i="4"/>
  <c r="AK152" i="4"/>
  <c r="BB73" i="4"/>
  <c r="BA73" i="4"/>
  <c r="BE72" i="4"/>
  <c r="BF72" i="4"/>
  <c r="N84" i="4"/>
  <c r="AR150" i="4"/>
  <c r="AQ150" i="4"/>
  <c r="AI80" i="4"/>
  <c r="AJ80" i="4"/>
  <c r="AX75" i="4"/>
  <c r="AW75" i="4"/>
  <c r="AU76" i="4"/>
  <c r="AV76" i="4"/>
  <c r="H156" i="4"/>
  <c r="V156" i="4"/>
  <c r="AV149" i="4"/>
  <c r="AU149" i="4"/>
  <c r="BA147" i="4"/>
  <c r="BB147" i="4"/>
  <c r="BF145" i="4"/>
  <c r="BE145" i="4"/>
  <c r="AN151" i="4"/>
  <c r="AM151" i="4"/>
  <c r="D83" i="4"/>
  <c r="F83" i="4"/>
  <c r="G83" i="4" s="1"/>
  <c r="K83" i="4"/>
  <c r="Y83" i="4"/>
  <c r="Z83" i="4" s="1"/>
  <c r="B83" i="4"/>
  <c r="E83" i="4"/>
  <c r="C83" i="4"/>
  <c r="L83" i="4"/>
  <c r="N157" i="4"/>
  <c r="P157" i="4" s="1"/>
  <c r="J157" i="4" s="1"/>
  <c r="D156" i="4"/>
  <c r="F156" i="4"/>
  <c r="G156" i="4" s="1"/>
  <c r="Y156" i="4"/>
  <c r="K156" i="4"/>
  <c r="C156" i="4"/>
  <c r="B156" i="4"/>
  <c r="E156" i="4"/>
  <c r="L156" i="4"/>
  <c r="AZ148" i="4"/>
  <c r="AY148" i="4"/>
  <c r="AE154" i="4"/>
  <c r="AF154" i="4"/>
  <c r="AA155" i="4"/>
  <c r="AB155" i="4"/>
  <c r="AS78" i="4"/>
  <c r="AT78" i="4"/>
  <c r="Q157" i="4" l="1"/>
  <c r="I157" i="4" s="1"/>
  <c r="R157" i="4"/>
  <c r="S157" i="4" s="1"/>
  <c r="M158" i="4" s="1"/>
  <c r="N158" i="4" s="1"/>
  <c r="P158" i="4" s="1"/>
  <c r="J158" i="4" s="1"/>
  <c r="AO151" i="4"/>
  <c r="AP151" i="4"/>
  <c r="AY75" i="4"/>
  <c r="AZ75" i="4"/>
  <c r="AT150" i="4"/>
  <c r="AS150" i="4"/>
  <c r="R84" i="4"/>
  <c r="S84" i="4" s="1"/>
  <c r="M85" i="4" s="1"/>
  <c r="A84" i="4"/>
  <c r="U84" i="4"/>
  <c r="BD73" i="4"/>
  <c r="BC73" i="4"/>
  <c r="AX77" i="4"/>
  <c r="AW77" i="4"/>
  <c r="AP79" i="4"/>
  <c r="AO79" i="4"/>
  <c r="BB148" i="4"/>
  <c r="BA148" i="4"/>
  <c r="AV78" i="4"/>
  <c r="AU78" i="4"/>
  <c r="AH154" i="4"/>
  <c r="AG154" i="4"/>
  <c r="AW76" i="4"/>
  <c r="AX76" i="4"/>
  <c r="AK80" i="4"/>
  <c r="AL80" i="4"/>
  <c r="O84" i="4"/>
  <c r="W84" i="4" s="1"/>
  <c r="BG72" i="4"/>
  <c r="BH72" i="4"/>
  <c r="BI72" i="4" s="1"/>
  <c r="AI153" i="4"/>
  <c r="AJ153" i="4"/>
  <c r="U157" i="4"/>
  <c r="A157" i="4"/>
  <c r="BH145" i="4"/>
  <c r="BI145" i="4" s="1"/>
  <c r="BG145" i="4"/>
  <c r="AW149" i="4"/>
  <c r="AX149" i="4"/>
  <c r="P84" i="4"/>
  <c r="J84" i="4" s="1"/>
  <c r="AN152" i="4"/>
  <c r="AM152" i="4"/>
  <c r="AE82" i="4"/>
  <c r="AF82" i="4"/>
  <c r="BD74" i="4"/>
  <c r="BC74" i="4"/>
  <c r="Z156" i="4"/>
  <c r="AD155" i="4"/>
  <c r="AC155" i="4"/>
  <c r="O157" i="4"/>
  <c r="W157" i="4" s="1"/>
  <c r="AA83" i="4"/>
  <c r="AB83" i="4"/>
  <c r="BC147" i="4"/>
  <c r="BD147" i="4"/>
  <c r="Q84" i="4"/>
  <c r="I84" i="4" s="1"/>
  <c r="AG81" i="4"/>
  <c r="AH81" i="4"/>
  <c r="BF146" i="4"/>
  <c r="BE146" i="4"/>
  <c r="X72" i="4" l="1"/>
  <c r="X145" i="4"/>
  <c r="BH146" i="4"/>
  <c r="BI146" i="4" s="1"/>
  <c r="BG146" i="4"/>
  <c r="V157" i="4"/>
  <c r="H157" i="4"/>
  <c r="AJ81" i="4"/>
  <c r="AI81" i="4"/>
  <c r="AM80" i="4"/>
  <c r="AN80" i="4"/>
  <c r="AQ151" i="4"/>
  <c r="AR151" i="4"/>
  <c r="AD83" i="4"/>
  <c r="AC83" i="4"/>
  <c r="AE155" i="4"/>
  <c r="AF155" i="4"/>
  <c r="BE74" i="4"/>
  <c r="BF74" i="4"/>
  <c r="AO152" i="4"/>
  <c r="AP152" i="4"/>
  <c r="O158" i="4"/>
  <c r="W158" i="4" s="1"/>
  <c r="U158" i="4"/>
  <c r="A158" i="4"/>
  <c r="AI154" i="4"/>
  <c r="AJ154" i="4"/>
  <c r="BC148" i="4"/>
  <c r="BD148" i="4"/>
  <c r="AZ77" i="4"/>
  <c r="AY77" i="4"/>
  <c r="AU150" i="4"/>
  <c r="AV150" i="4"/>
  <c r="AH82" i="4"/>
  <c r="AG82" i="4"/>
  <c r="R158" i="4"/>
  <c r="S158" i="4" s="1"/>
  <c r="M159" i="4" s="1"/>
  <c r="AZ76" i="4"/>
  <c r="AY76" i="4"/>
  <c r="E84" i="4"/>
  <c r="D84" i="4"/>
  <c r="F84" i="4"/>
  <c r="G84" i="4" s="1"/>
  <c r="B84" i="4"/>
  <c r="K84" i="4"/>
  <c r="C84" i="4"/>
  <c r="Y84" i="4"/>
  <c r="L84" i="4"/>
  <c r="BB75" i="4"/>
  <c r="BA75" i="4"/>
  <c r="BF147" i="4"/>
  <c r="BE147" i="4"/>
  <c r="AA156" i="4"/>
  <c r="AB156" i="4"/>
  <c r="AZ149" i="4"/>
  <c r="AY149" i="4"/>
  <c r="B157" i="4"/>
  <c r="E157" i="4"/>
  <c r="F157" i="4"/>
  <c r="G157" i="4" s="1"/>
  <c r="K157" i="4"/>
  <c r="L157" i="4"/>
  <c r="C157" i="4"/>
  <c r="Y157" i="4"/>
  <c r="D157" i="4"/>
  <c r="Q158" i="4"/>
  <c r="I158" i="4" s="1"/>
  <c r="AK153" i="4"/>
  <c r="AL153" i="4"/>
  <c r="V84" i="4"/>
  <c r="H84" i="4"/>
  <c r="AX78" i="4"/>
  <c r="AW78" i="4"/>
  <c r="AQ79" i="4"/>
  <c r="AR79" i="4"/>
  <c r="BF73" i="4"/>
  <c r="BE73" i="4"/>
  <c r="N85" i="4"/>
  <c r="X146" i="4" l="1"/>
  <c r="O85" i="4"/>
  <c r="W85" i="4" s="1"/>
  <c r="U85" i="4"/>
  <c r="A85" i="4"/>
  <c r="AJ82" i="4"/>
  <c r="AI82" i="4"/>
  <c r="BB77" i="4"/>
  <c r="BA77" i="4"/>
  <c r="H158" i="4"/>
  <c r="V158" i="4"/>
  <c r="AE83" i="4"/>
  <c r="AF83" i="4"/>
  <c r="P85" i="4"/>
  <c r="J85" i="4" s="1"/>
  <c r="AN153" i="4"/>
  <c r="AM153" i="4"/>
  <c r="Z157" i="4"/>
  <c r="BA149" i="4"/>
  <c r="BB149" i="4"/>
  <c r="BG147" i="4"/>
  <c r="BH147" i="4"/>
  <c r="BI147" i="4" s="1"/>
  <c r="Z84" i="4"/>
  <c r="BA76" i="4"/>
  <c r="BB76" i="4"/>
  <c r="AX150" i="4"/>
  <c r="AW150" i="4"/>
  <c r="BE148" i="4"/>
  <c r="BF148" i="4"/>
  <c r="C158" i="4"/>
  <c r="F158" i="4"/>
  <c r="G158" i="4" s="1"/>
  <c r="L158" i="4"/>
  <c r="E158" i="4"/>
  <c r="D158" i="4"/>
  <c r="K158" i="4"/>
  <c r="Y158" i="4"/>
  <c r="B158" i="4"/>
  <c r="AQ152" i="4"/>
  <c r="AR152" i="4"/>
  <c r="AH155" i="4"/>
  <c r="AG155" i="4"/>
  <c r="AT151" i="4"/>
  <c r="AS151" i="4"/>
  <c r="R85" i="4"/>
  <c r="S85" i="4" s="1"/>
  <c r="M86" i="4" s="1"/>
  <c r="AZ78" i="4"/>
  <c r="AY78" i="4"/>
  <c r="AC156" i="4"/>
  <c r="AD156" i="4"/>
  <c r="N159" i="4"/>
  <c r="R159" i="4" s="1"/>
  <c r="S159" i="4" s="1"/>
  <c r="M160" i="4" s="1"/>
  <c r="BH73" i="4"/>
  <c r="BI73" i="4" s="1"/>
  <c r="BG73" i="4"/>
  <c r="Q85" i="4"/>
  <c r="I85" i="4" s="1"/>
  <c r="AT79" i="4"/>
  <c r="AS79" i="4"/>
  <c r="BC75" i="4"/>
  <c r="BD75" i="4"/>
  <c r="AK154" i="4"/>
  <c r="AL154" i="4"/>
  <c r="BG74" i="4"/>
  <c r="BH74" i="4"/>
  <c r="BI74" i="4" s="1"/>
  <c r="AP80" i="4"/>
  <c r="AO80" i="4"/>
  <c r="AL81" i="4"/>
  <c r="AK81" i="4"/>
  <c r="X147" i="4" l="1"/>
  <c r="X73" i="4"/>
  <c r="N160" i="4"/>
  <c r="BE75" i="4"/>
  <c r="BF75" i="4"/>
  <c r="AE156" i="4"/>
  <c r="AF156" i="4"/>
  <c r="AN81" i="4"/>
  <c r="AM81" i="4"/>
  <c r="O159" i="4"/>
  <c r="W159" i="4" s="1"/>
  <c r="AT152" i="4"/>
  <c r="AS152" i="4"/>
  <c r="BC149" i="4"/>
  <c r="BD149" i="4"/>
  <c r="E85" i="4"/>
  <c r="F85" i="4"/>
  <c r="G85" i="4" s="1"/>
  <c r="C85" i="4"/>
  <c r="L85" i="4"/>
  <c r="B85" i="4"/>
  <c r="K85" i="4"/>
  <c r="D85" i="4"/>
  <c r="Y85" i="4"/>
  <c r="AR80" i="4"/>
  <c r="AQ80" i="4"/>
  <c r="AU79" i="4"/>
  <c r="AV79" i="4"/>
  <c r="Q159" i="4"/>
  <c r="I159" i="4" s="1"/>
  <c r="X74" i="4"/>
  <c r="AM154" i="4"/>
  <c r="AN154" i="4"/>
  <c r="AV151" i="4"/>
  <c r="AU151" i="4"/>
  <c r="AZ150" i="4"/>
  <c r="AY150" i="4"/>
  <c r="AB84" i="4"/>
  <c r="AA84" i="4"/>
  <c r="AP153" i="4"/>
  <c r="AO153" i="4"/>
  <c r="BC77" i="4"/>
  <c r="BD77" i="4"/>
  <c r="P159" i="4"/>
  <c r="J159" i="4" s="1"/>
  <c r="A159" i="4"/>
  <c r="U159" i="4"/>
  <c r="BA78" i="4"/>
  <c r="BB78" i="4"/>
  <c r="BG148" i="4"/>
  <c r="BH148" i="4"/>
  <c r="BI148" i="4" s="1"/>
  <c r="BC76" i="4"/>
  <c r="BD76" i="4"/>
  <c r="N86" i="4"/>
  <c r="P86" i="4" s="1"/>
  <c r="J86" i="4" s="1"/>
  <c r="AI155" i="4"/>
  <c r="AJ155" i="4"/>
  <c r="Z158" i="4"/>
  <c r="AB157" i="4"/>
  <c r="AA157" i="4"/>
  <c r="AG83" i="4"/>
  <c r="AH83" i="4"/>
  <c r="AL82" i="4"/>
  <c r="AK82" i="4"/>
  <c r="V85" i="4"/>
  <c r="H85" i="4"/>
  <c r="X148" i="4" l="1"/>
  <c r="AC157" i="4"/>
  <c r="AD157" i="4"/>
  <c r="Q86" i="4"/>
  <c r="I86" i="4" s="1"/>
  <c r="BC78" i="4"/>
  <c r="BD78" i="4"/>
  <c r="AP154" i="4"/>
  <c r="AO154" i="4"/>
  <c r="AX79" i="4"/>
  <c r="AW79" i="4"/>
  <c r="Z85" i="4"/>
  <c r="BF149" i="4"/>
  <c r="BE149" i="4"/>
  <c r="H159" i="4"/>
  <c r="V159" i="4"/>
  <c r="Q160" i="4"/>
  <c r="I160" i="4" s="1"/>
  <c r="U160" i="4"/>
  <c r="A160" i="4"/>
  <c r="AN82" i="4"/>
  <c r="AM82" i="4"/>
  <c r="AJ83" i="4"/>
  <c r="AI83" i="4"/>
  <c r="BF76" i="4"/>
  <c r="BE76" i="4"/>
  <c r="AA158" i="4"/>
  <c r="AB158" i="4"/>
  <c r="O86" i="4"/>
  <c r="W86" i="4" s="1"/>
  <c r="AQ153" i="4"/>
  <c r="AR153" i="4"/>
  <c r="BB150" i="4"/>
  <c r="BA150" i="4"/>
  <c r="BH75" i="4"/>
  <c r="BI75" i="4" s="1"/>
  <c r="BG75" i="4"/>
  <c r="O160" i="4"/>
  <c r="W160" i="4" s="1"/>
  <c r="AL155" i="4"/>
  <c r="AK155" i="4"/>
  <c r="BF77" i="4"/>
  <c r="BE77" i="4"/>
  <c r="AP81" i="4"/>
  <c r="AO81" i="4"/>
  <c r="R160" i="4"/>
  <c r="S160" i="4" s="1"/>
  <c r="M161" i="4" s="1"/>
  <c r="R86" i="4"/>
  <c r="S86" i="4" s="1"/>
  <c r="M87" i="4" s="1"/>
  <c r="A86" i="4"/>
  <c r="U86" i="4"/>
  <c r="C159" i="4"/>
  <c r="B159" i="4"/>
  <c r="F159" i="4"/>
  <c r="G159" i="4" s="1"/>
  <c r="Y159" i="4"/>
  <c r="L159" i="4"/>
  <c r="K159" i="4"/>
  <c r="D159" i="4"/>
  <c r="E159" i="4"/>
  <c r="AD84" i="4"/>
  <c r="AC84" i="4"/>
  <c r="AX151" i="4"/>
  <c r="AW151" i="4"/>
  <c r="AS80" i="4"/>
  <c r="AT80" i="4"/>
  <c r="AU152" i="4"/>
  <c r="AV152" i="4"/>
  <c r="AG156" i="4"/>
  <c r="AH156" i="4"/>
  <c r="P160" i="4"/>
  <c r="J160" i="4" s="1"/>
  <c r="X75" i="4" l="1"/>
  <c r="AW152" i="4"/>
  <c r="AX152" i="4"/>
  <c r="Z159" i="4"/>
  <c r="N161" i="4"/>
  <c r="O161" i="4" s="1"/>
  <c r="V86" i="4"/>
  <c r="H86" i="4"/>
  <c r="BG76" i="4"/>
  <c r="BH76" i="4"/>
  <c r="BI76" i="4" s="1"/>
  <c r="AP82" i="4"/>
  <c r="AO82" i="4"/>
  <c r="BH149" i="4"/>
  <c r="BI149" i="4" s="1"/>
  <c r="BG149" i="4"/>
  <c r="AZ79" i="4"/>
  <c r="AY79" i="4"/>
  <c r="AY151" i="4"/>
  <c r="AZ151" i="4"/>
  <c r="BG77" i="4"/>
  <c r="BH77" i="4"/>
  <c r="BI77" i="4" s="1"/>
  <c r="H160" i="4"/>
  <c r="V160" i="4"/>
  <c r="BC150" i="4"/>
  <c r="BD150" i="4"/>
  <c r="AC158" i="4"/>
  <c r="AD158" i="4"/>
  <c r="Y160" i="4"/>
  <c r="D160" i="4"/>
  <c r="K160" i="4"/>
  <c r="B160" i="4"/>
  <c r="L160" i="4"/>
  <c r="F160" i="4"/>
  <c r="G160" i="4" s="1"/>
  <c r="E160" i="4"/>
  <c r="C160" i="4"/>
  <c r="AI156" i="4"/>
  <c r="AJ156" i="4"/>
  <c r="AU80" i="4"/>
  <c r="AV80" i="4"/>
  <c r="C86" i="4"/>
  <c r="F86" i="4"/>
  <c r="G86" i="4" s="1"/>
  <c r="K86" i="4"/>
  <c r="L86" i="4"/>
  <c r="Y86" i="4"/>
  <c r="Z86" i="4" s="1"/>
  <c r="B86" i="4"/>
  <c r="D86" i="4"/>
  <c r="E86" i="4"/>
  <c r="AQ81" i="4"/>
  <c r="AR81" i="4"/>
  <c r="AS153" i="4"/>
  <c r="AT153" i="4"/>
  <c r="AK83" i="4"/>
  <c r="AL83" i="4"/>
  <c r="AB85" i="4"/>
  <c r="AA85" i="4"/>
  <c r="AQ154" i="4"/>
  <c r="AR154" i="4"/>
  <c r="AF157" i="4"/>
  <c r="AE157" i="4"/>
  <c r="AE84" i="4"/>
  <c r="AF84" i="4"/>
  <c r="N87" i="4"/>
  <c r="AN155" i="4"/>
  <c r="AM155" i="4"/>
  <c r="BF78" i="4"/>
  <c r="BE78" i="4"/>
  <c r="X77" i="4" l="1"/>
  <c r="X149" i="4"/>
  <c r="X76" i="4"/>
  <c r="H161" i="4"/>
  <c r="V161" i="4"/>
  <c r="O87" i="4"/>
  <c r="W87" i="4" s="1"/>
  <c r="A87" i="4"/>
  <c r="U87" i="4"/>
  <c r="AC85" i="4"/>
  <c r="AD85" i="4"/>
  <c r="Q87" i="4"/>
  <c r="I87" i="4" s="1"/>
  <c r="AH84" i="4"/>
  <c r="AG84" i="4"/>
  <c r="AS154" i="4"/>
  <c r="AT154" i="4"/>
  <c r="AN83" i="4"/>
  <c r="AM83" i="4"/>
  <c r="BB151" i="4"/>
  <c r="BA151" i="4"/>
  <c r="Q161" i="4"/>
  <c r="I161" i="4" s="1"/>
  <c r="AL156" i="4"/>
  <c r="AK156" i="4"/>
  <c r="BF150" i="4"/>
  <c r="BE150" i="4"/>
  <c r="R161" i="4"/>
  <c r="S161" i="4" s="1"/>
  <c r="M162" i="4" s="1"/>
  <c r="AB159" i="4"/>
  <c r="AA159" i="4"/>
  <c r="R87" i="4"/>
  <c r="S87" i="4" s="1"/>
  <c r="M88" i="4" s="1"/>
  <c r="AS81" i="4"/>
  <c r="AT81" i="4"/>
  <c r="P87" i="4"/>
  <c r="J87" i="4" s="1"/>
  <c r="AA86" i="4"/>
  <c r="AB86" i="4"/>
  <c r="Z160" i="4"/>
  <c r="AZ152" i="4"/>
  <c r="AY152" i="4"/>
  <c r="BH78" i="4"/>
  <c r="BI78" i="4" s="1"/>
  <c r="BG78" i="4"/>
  <c r="AO155" i="4"/>
  <c r="AP155" i="4"/>
  <c r="AG157" i="4"/>
  <c r="AH157" i="4"/>
  <c r="AU153" i="4"/>
  <c r="AV153" i="4"/>
  <c r="AX80" i="4"/>
  <c r="AW80" i="4"/>
  <c r="AE158" i="4"/>
  <c r="AF158" i="4"/>
  <c r="BA79" i="4"/>
  <c r="BB79" i="4"/>
  <c r="AQ82" i="4"/>
  <c r="AR82" i="4"/>
  <c r="P161" i="4"/>
  <c r="J161" i="4" s="1"/>
  <c r="W161" i="4"/>
  <c r="A161" i="4"/>
  <c r="U161" i="4"/>
  <c r="X78" i="4" l="1"/>
  <c r="AG158" i="4"/>
  <c r="AH158" i="4"/>
  <c r="AX153" i="4"/>
  <c r="AW153" i="4"/>
  <c r="AQ155" i="4"/>
  <c r="AR155" i="4"/>
  <c r="AD86" i="4"/>
  <c r="AC86" i="4"/>
  <c r="BG150" i="4"/>
  <c r="BH150" i="4"/>
  <c r="BI150" i="4" s="1"/>
  <c r="AU154" i="4"/>
  <c r="AV154" i="4"/>
  <c r="L87" i="4"/>
  <c r="F87" i="4"/>
  <c r="G87" i="4" s="1"/>
  <c r="D87" i="4"/>
  <c r="Y87" i="4"/>
  <c r="E87" i="4"/>
  <c r="C87" i="4"/>
  <c r="K87" i="4"/>
  <c r="B87" i="4"/>
  <c r="AI157" i="4"/>
  <c r="AJ157" i="4"/>
  <c r="AT82" i="4"/>
  <c r="AS82" i="4"/>
  <c r="C161" i="4"/>
  <c r="K161" i="4"/>
  <c r="L161" i="4"/>
  <c r="D161" i="4"/>
  <c r="Y161" i="4"/>
  <c r="E161" i="4"/>
  <c r="B161" i="4"/>
  <c r="F161" i="4"/>
  <c r="G161" i="4" s="1"/>
  <c r="BB152" i="4"/>
  <c r="BA152" i="4"/>
  <c r="AU81" i="4"/>
  <c r="AV81" i="4"/>
  <c r="AD159" i="4"/>
  <c r="AC159" i="4"/>
  <c r="BC151" i="4"/>
  <c r="BD151" i="4"/>
  <c r="AF85" i="4"/>
  <c r="AE85" i="4"/>
  <c r="N162" i="4"/>
  <c r="P162" i="4" s="1"/>
  <c r="J162" i="4" s="1"/>
  <c r="AM156" i="4"/>
  <c r="AN156" i="4"/>
  <c r="V87" i="4"/>
  <c r="H87" i="4"/>
  <c r="BD79" i="4"/>
  <c r="BC79" i="4"/>
  <c r="AY80" i="4"/>
  <c r="AZ80" i="4"/>
  <c r="AA160" i="4"/>
  <c r="AB160" i="4"/>
  <c r="N88" i="4"/>
  <c r="P88" i="4" s="1"/>
  <c r="J88" i="4" s="1"/>
  <c r="AP83" i="4"/>
  <c r="AO83" i="4"/>
  <c r="AI84" i="4"/>
  <c r="AJ84" i="4"/>
  <c r="X150" i="4" l="1"/>
  <c r="AQ83" i="4"/>
  <c r="AR83" i="4"/>
  <c r="BA80" i="4"/>
  <c r="BB80" i="4"/>
  <c r="R162" i="4"/>
  <c r="S162" i="4" s="1"/>
  <c r="M163" i="4" s="1"/>
  <c r="AV82" i="4"/>
  <c r="AU82" i="4"/>
  <c r="U88" i="4"/>
  <c r="A88" i="4"/>
  <c r="O162" i="4"/>
  <c r="W162" i="4" s="1"/>
  <c r="AG85" i="4"/>
  <c r="AH85" i="4"/>
  <c r="AF159" i="4"/>
  <c r="AE159" i="4"/>
  <c r="BC152" i="4"/>
  <c r="BD152" i="4"/>
  <c r="AL157" i="4"/>
  <c r="AK157" i="4"/>
  <c r="AF86" i="4"/>
  <c r="AE86" i="4"/>
  <c r="AY153" i="4"/>
  <c r="AZ153" i="4"/>
  <c r="R88" i="4"/>
  <c r="S88" i="4" s="1"/>
  <c r="M89" i="4" s="1"/>
  <c r="AK84" i="4"/>
  <c r="AL84" i="4"/>
  <c r="O88" i="4"/>
  <c r="W88" i="4" s="1"/>
  <c r="Q88" i="4"/>
  <c r="I88" i="4" s="1"/>
  <c r="AC160" i="4"/>
  <c r="AD160" i="4"/>
  <c r="AP156" i="4"/>
  <c r="AO156" i="4"/>
  <c r="BF151" i="4"/>
  <c r="BE151" i="4"/>
  <c r="AX81" i="4"/>
  <c r="AW81" i="4"/>
  <c r="Z161" i="4"/>
  <c r="AT155" i="4"/>
  <c r="AS155" i="4"/>
  <c r="AI158" i="4"/>
  <c r="AJ158" i="4"/>
  <c r="BF79" i="4"/>
  <c r="BE79" i="4"/>
  <c r="Q162" i="4"/>
  <c r="I162" i="4" s="1"/>
  <c r="U162" i="4"/>
  <c r="A162" i="4"/>
  <c r="Z87" i="4"/>
  <c r="AW154" i="4"/>
  <c r="AX154" i="4"/>
  <c r="BH79" i="4" l="1"/>
  <c r="BI79" i="4" s="1"/>
  <c r="BG79" i="4"/>
  <c r="AK158" i="4"/>
  <c r="AL158" i="4"/>
  <c r="AF160" i="4"/>
  <c r="AE160" i="4"/>
  <c r="AN84" i="4"/>
  <c r="AM84" i="4"/>
  <c r="AM157" i="4"/>
  <c r="AN157" i="4"/>
  <c r="AG159" i="4"/>
  <c r="AH159" i="4"/>
  <c r="AW82" i="4"/>
  <c r="AX82" i="4"/>
  <c r="AB87" i="4"/>
  <c r="AA87" i="4"/>
  <c r="AA161" i="4"/>
  <c r="AB161" i="4"/>
  <c r="BH151" i="4"/>
  <c r="BI151" i="4" s="1"/>
  <c r="BG151" i="4"/>
  <c r="BF152" i="4"/>
  <c r="BE152" i="4"/>
  <c r="AJ85" i="4"/>
  <c r="AI85" i="4"/>
  <c r="D88" i="4"/>
  <c r="L88" i="4"/>
  <c r="E88" i="4"/>
  <c r="Y88" i="4"/>
  <c r="K88" i="4"/>
  <c r="B88" i="4"/>
  <c r="F88" i="4"/>
  <c r="G88" i="4" s="1"/>
  <c r="C88" i="4"/>
  <c r="AS83" i="4"/>
  <c r="AT83" i="4"/>
  <c r="AZ154" i="4"/>
  <c r="AY154" i="4"/>
  <c r="N89" i="4"/>
  <c r="AG86" i="4"/>
  <c r="AH86" i="4"/>
  <c r="N163" i="4"/>
  <c r="O163" i="4" s="1"/>
  <c r="F162" i="4"/>
  <c r="G162" i="4" s="1"/>
  <c r="C162" i="4"/>
  <c r="K162" i="4"/>
  <c r="D162" i="4"/>
  <c r="B162" i="4"/>
  <c r="L162" i="4"/>
  <c r="E162" i="4"/>
  <c r="Y162" i="4"/>
  <c r="AV155" i="4"/>
  <c r="AU155" i="4"/>
  <c r="AZ81" i="4"/>
  <c r="AY81" i="4"/>
  <c r="AR156" i="4"/>
  <c r="AQ156" i="4"/>
  <c r="H88" i="4"/>
  <c r="V88" i="4"/>
  <c r="BB153" i="4"/>
  <c r="BA153" i="4"/>
  <c r="H162" i="4"/>
  <c r="V162" i="4"/>
  <c r="BC80" i="4"/>
  <c r="BD80" i="4"/>
  <c r="X79" i="4" l="1"/>
  <c r="X151" i="4"/>
  <c r="V163" i="4"/>
  <c r="H163" i="4"/>
  <c r="BF80" i="4"/>
  <c r="BE80" i="4"/>
  <c r="Q163" i="4"/>
  <c r="I163" i="4" s="1"/>
  <c r="P89" i="4"/>
  <c r="J89" i="4" s="1"/>
  <c r="A89" i="4"/>
  <c r="U89" i="4"/>
  <c r="BG152" i="4"/>
  <c r="BH152" i="4"/>
  <c r="BI152" i="4" s="1"/>
  <c r="AZ82" i="4"/>
  <c r="AY82" i="4"/>
  <c r="AP157" i="4"/>
  <c r="AO157" i="4"/>
  <c r="BC153" i="4"/>
  <c r="BD153" i="4"/>
  <c r="AT156" i="4"/>
  <c r="AS156" i="4"/>
  <c r="AX155" i="4"/>
  <c r="AW155" i="4"/>
  <c r="R89" i="4"/>
  <c r="S89" i="4" s="1"/>
  <c r="M90" i="4" s="1"/>
  <c r="Z88" i="4"/>
  <c r="AG160" i="4"/>
  <c r="AH160" i="4"/>
  <c r="W163" i="4"/>
  <c r="A163" i="4"/>
  <c r="U163" i="4"/>
  <c r="O89" i="4"/>
  <c r="W89" i="4" s="1"/>
  <c r="BB154" i="4"/>
  <c r="BA154" i="4"/>
  <c r="AL85" i="4"/>
  <c r="AK85" i="4"/>
  <c r="AI159" i="4"/>
  <c r="AJ159" i="4"/>
  <c r="AM158" i="4"/>
  <c r="AN158" i="4"/>
  <c r="Z162" i="4"/>
  <c r="R163" i="4"/>
  <c r="S163" i="4" s="1"/>
  <c r="M164" i="4" s="1"/>
  <c r="BB81" i="4"/>
  <c r="BA81" i="4"/>
  <c r="P163" i="4"/>
  <c r="J163" i="4" s="1"/>
  <c r="AI86" i="4"/>
  <c r="AJ86" i="4"/>
  <c r="Q89" i="4"/>
  <c r="I89" i="4" s="1"/>
  <c r="AV83" i="4"/>
  <c r="AU83" i="4"/>
  <c r="AD161" i="4"/>
  <c r="AC161" i="4"/>
  <c r="AC87" i="4"/>
  <c r="AD87" i="4"/>
  <c r="AO84" i="4"/>
  <c r="AP84" i="4"/>
  <c r="X152" i="4" l="1"/>
  <c r="AQ84" i="4"/>
  <c r="AR84" i="4"/>
  <c r="AE161" i="4"/>
  <c r="AF161" i="4"/>
  <c r="AL86" i="4"/>
  <c r="AK86" i="4"/>
  <c r="BC81" i="4"/>
  <c r="BD81" i="4"/>
  <c r="AO158" i="4"/>
  <c r="AP158" i="4"/>
  <c r="BC154" i="4"/>
  <c r="BD154" i="4"/>
  <c r="AB88" i="4"/>
  <c r="AA88" i="4"/>
  <c r="V89" i="4"/>
  <c r="H89" i="4"/>
  <c r="AJ160" i="4"/>
  <c r="AI160" i="4"/>
  <c r="N90" i="4"/>
  <c r="Q90" i="4" s="1"/>
  <c r="I90" i="4" s="1"/>
  <c r="AU156" i="4"/>
  <c r="AV156" i="4"/>
  <c r="AQ157" i="4"/>
  <c r="AR157" i="4"/>
  <c r="F89" i="4"/>
  <c r="G89" i="4" s="1"/>
  <c r="K89" i="4"/>
  <c r="D89" i="4"/>
  <c r="E89" i="4"/>
  <c r="C89" i="4"/>
  <c r="B89" i="4"/>
  <c r="L89" i="4"/>
  <c r="Y89" i="4"/>
  <c r="BG80" i="4"/>
  <c r="BH80" i="4"/>
  <c r="BI80" i="4" s="1"/>
  <c r="AF87" i="4"/>
  <c r="AE87" i="4"/>
  <c r="AW83" i="4"/>
  <c r="AX83" i="4"/>
  <c r="AL159" i="4"/>
  <c r="AK159" i="4"/>
  <c r="AM85" i="4"/>
  <c r="AN85" i="4"/>
  <c r="BF153" i="4"/>
  <c r="BE153" i="4"/>
  <c r="N164" i="4"/>
  <c r="Q164" i="4" s="1"/>
  <c r="I164" i="4" s="1"/>
  <c r="AB162" i="4"/>
  <c r="AA162" i="4"/>
  <c r="F163" i="4"/>
  <c r="G163" i="4" s="1"/>
  <c r="D163" i="4"/>
  <c r="K163" i="4"/>
  <c r="L163" i="4"/>
  <c r="C163" i="4"/>
  <c r="B163" i="4"/>
  <c r="E163" i="4"/>
  <c r="Y163" i="4"/>
  <c r="AZ155" i="4"/>
  <c r="AY155" i="4"/>
  <c r="BB82" i="4"/>
  <c r="BA82" i="4"/>
  <c r="X80" i="4" l="1"/>
  <c r="BD82" i="4"/>
  <c r="BC82" i="4"/>
  <c r="O164" i="4"/>
  <c r="W164" i="4" s="1"/>
  <c r="Z89" i="4"/>
  <c r="AS157" i="4"/>
  <c r="AT157" i="4"/>
  <c r="R90" i="4"/>
  <c r="S90" i="4" s="1"/>
  <c r="M91" i="4" s="1"/>
  <c r="BA155" i="4"/>
  <c r="BB155" i="4"/>
  <c r="P164" i="4"/>
  <c r="J164" i="4" s="1"/>
  <c r="BH153" i="4"/>
  <c r="BI153" i="4" s="1"/>
  <c r="BG153" i="4"/>
  <c r="AM159" i="4"/>
  <c r="AN159" i="4"/>
  <c r="AH87" i="4"/>
  <c r="AG87" i="4"/>
  <c r="O90" i="4"/>
  <c r="W90" i="4" s="1"/>
  <c r="AK160" i="4"/>
  <c r="AL160" i="4"/>
  <c r="AR158" i="4"/>
  <c r="AQ158" i="4"/>
  <c r="AS84" i="4"/>
  <c r="AT84" i="4"/>
  <c r="AC162" i="4"/>
  <c r="AD162" i="4"/>
  <c r="Z163" i="4"/>
  <c r="AP85" i="4"/>
  <c r="AO85" i="4"/>
  <c r="AY83" i="4"/>
  <c r="AZ83" i="4"/>
  <c r="AW156" i="4"/>
  <c r="AX156" i="4"/>
  <c r="AD88" i="4"/>
  <c r="AC88" i="4"/>
  <c r="AM86" i="4"/>
  <c r="AN86" i="4"/>
  <c r="R164" i="4"/>
  <c r="S164" i="4" s="1"/>
  <c r="M165" i="4" s="1"/>
  <c r="A164" i="4"/>
  <c r="U164" i="4"/>
  <c r="P90" i="4"/>
  <c r="J90" i="4" s="1"/>
  <c r="U90" i="4"/>
  <c r="A90" i="4"/>
  <c r="BE154" i="4"/>
  <c r="BF154" i="4"/>
  <c r="BF81" i="4"/>
  <c r="BE81" i="4"/>
  <c r="AH161" i="4"/>
  <c r="AG161" i="4"/>
  <c r="X153" i="4" l="1"/>
  <c r="AP86" i="4"/>
  <c r="AO86" i="4"/>
  <c r="AZ156" i="4"/>
  <c r="AY156" i="4"/>
  <c r="AA163" i="4"/>
  <c r="AB163" i="4"/>
  <c r="AM160" i="4"/>
  <c r="AN160" i="4"/>
  <c r="AJ87" i="4"/>
  <c r="AI87" i="4"/>
  <c r="N91" i="4"/>
  <c r="P91" i="4" s="1"/>
  <c r="J91" i="4" s="1"/>
  <c r="AA89" i="4"/>
  <c r="AB89" i="4"/>
  <c r="BH81" i="4"/>
  <c r="BI81" i="4" s="1"/>
  <c r="BG81" i="4"/>
  <c r="AQ85" i="4"/>
  <c r="AR85" i="4"/>
  <c r="AF162" i="4"/>
  <c r="AE162" i="4"/>
  <c r="AO159" i="4"/>
  <c r="AP159" i="4"/>
  <c r="AU157" i="4"/>
  <c r="AV157" i="4"/>
  <c r="H164" i="4"/>
  <c r="V164" i="4"/>
  <c r="K90" i="4"/>
  <c r="E90" i="4"/>
  <c r="F90" i="4"/>
  <c r="G90" i="4" s="1"/>
  <c r="L90" i="4"/>
  <c r="D90" i="4"/>
  <c r="Y90" i="4"/>
  <c r="C90" i="4"/>
  <c r="B90" i="4"/>
  <c r="BH154" i="4"/>
  <c r="BI154" i="4" s="1"/>
  <c r="BG154" i="4"/>
  <c r="D164" i="4"/>
  <c r="F164" i="4"/>
  <c r="G164" i="4" s="1"/>
  <c r="B164" i="4"/>
  <c r="L164" i="4"/>
  <c r="K164" i="4"/>
  <c r="C164" i="4"/>
  <c r="E164" i="4"/>
  <c r="Y164" i="4"/>
  <c r="BA83" i="4"/>
  <c r="BB83" i="4"/>
  <c r="AS158" i="4"/>
  <c r="AT158" i="4"/>
  <c r="V90" i="4"/>
  <c r="H90" i="4"/>
  <c r="BD155" i="4"/>
  <c r="BC155" i="4"/>
  <c r="AJ161" i="4"/>
  <c r="AI161" i="4"/>
  <c r="N165" i="4"/>
  <c r="R165" i="4" s="1"/>
  <c r="S165" i="4" s="1"/>
  <c r="M166" i="4" s="1"/>
  <c r="AF88" i="4"/>
  <c r="AE88" i="4"/>
  <c r="AU84" i="4"/>
  <c r="AV84" i="4"/>
  <c r="BE82" i="4"/>
  <c r="BF82" i="4"/>
  <c r="X154" i="4" l="1"/>
  <c r="X81" i="4"/>
  <c r="N166" i="4"/>
  <c r="P166" i="4" s="1"/>
  <c r="J166" i="4" s="1"/>
  <c r="AL161" i="4"/>
  <c r="AK161" i="4"/>
  <c r="AS85" i="4"/>
  <c r="AT85" i="4"/>
  <c r="AD89" i="4"/>
  <c r="AC89" i="4"/>
  <c r="AO160" i="4"/>
  <c r="AP160" i="4"/>
  <c r="AU158" i="4"/>
  <c r="AV158" i="4"/>
  <c r="Z164" i="4"/>
  <c r="Z90" i="4"/>
  <c r="AX157" i="4"/>
  <c r="AW157" i="4"/>
  <c r="Q91" i="4"/>
  <c r="I91" i="4" s="1"/>
  <c r="U91" i="4"/>
  <c r="A91" i="4"/>
  <c r="BA156" i="4"/>
  <c r="BB156" i="4"/>
  <c r="P165" i="4"/>
  <c r="J165" i="4" s="1"/>
  <c r="A165" i="4"/>
  <c r="U165" i="4"/>
  <c r="BE155" i="4"/>
  <c r="BF155" i="4"/>
  <c r="R91" i="4"/>
  <c r="S91" i="4" s="1"/>
  <c r="M92" i="4" s="1"/>
  <c r="AC163" i="4"/>
  <c r="AD163" i="4"/>
  <c r="BH82" i="4"/>
  <c r="BI82" i="4" s="1"/>
  <c r="BG82" i="4"/>
  <c r="O165" i="4"/>
  <c r="W165" i="4" s="1"/>
  <c r="AG88" i="4"/>
  <c r="AH88" i="4"/>
  <c r="AW84" i="4"/>
  <c r="AX84" i="4"/>
  <c r="Q165" i="4"/>
  <c r="I165" i="4" s="1"/>
  <c r="BD83" i="4"/>
  <c r="BC83" i="4"/>
  <c r="AQ159" i="4"/>
  <c r="AR159" i="4"/>
  <c r="AH162" i="4"/>
  <c r="AG162" i="4"/>
  <c r="O91" i="4"/>
  <c r="W91" i="4" s="1"/>
  <c r="AK87" i="4"/>
  <c r="AL87" i="4"/>
  <c r="AQ86" i="4"/>
  <c r="AR86" i="4"/>
  <c r="X82" i="4" l="1"/>
  <c r="R166" i="4"/>
  <c r="S166" i="4" s="1"/>
  <c r="M167" i="4" s="1"/>
  <c r="N167" i="4" s="1"/>
  <c r="R167" i="4" s="1"/>
  <c r="S167" i="4" s="1"/>
  <c r="M168" i="4" s="1"/>
  <c r="V91" i="4"/>
  <c r="H91" i="4"/>
  <c r="AZ84" i="4"/>
  <c r="AY84" i="4"/>
  <c r="V165" i="4"/>
  <c r="H165" i="4"/>
  <c r="Y91" i="4"/>
  <c r="K91" i="4"/>
  <c r="E91" i="4"/>
  <c r="F91" i="4"/>
  <c r="G91" i="4" s="1"/>
  <c r="D91" i="4"/>
  <c r="L91" i="4"/>
  <c r="B91" i="4"/>
  <c r="C91" i="4"/>
  <c r="AQ160" i="4"/>
  <c r="AR160" i="4"/>
  <c r="AU85" i="4"/>
  <c r="AV85" i="4"/>
  <c r="O166" i="4"/>
  <c r="W166" i="4" s="1"/>
  <c r="AM87" i="4"/>
  <c r="AN87" i="4"/>
  <c r="N92" i="4"/>
  <c r="R92" i="4" s="1"/>
  <c r="S92" i="4" s="1"/>
  <c r="M93" i="4" s="1"/>
  <c r="BD156" i="4"/>
  <c r="BC156" i="4"/>
  <c r="AZ157" i="4"/>
  <c r="AY157" i="4"/>
  <c r="AA164" i="4"/>
  <c r="AB164" i="4"/>
  <c r="BF83" i="4"/>
  <c r="BE83" i="4"/>
  <c r="AX158" i="4"/>
  <c r="AW158" i="4"/>
  <c r="U166" i="4"/>
  <c r="A166" i="4"/>
  <c r="AJ162" i="4"/>
  <c r="AI162" i="4"/>
  <c r="AJ88" i="4"/>
  <c r="AI88" i="4"/>
  <c r="AS86" i="4"/>
  <c r="AT86" i="4"/>
  <c r="AT159" i="4"/>
  <c r="AS159" i="4"/>
  <c r="AE163" i="4"/>
  <c r="AF163" i="4"/>
  <c r="BH155" i="4"/>
  <c r="BI155" i="4" s="1"/>
  <c r="BG155" i="4"/>
  <c r="Y165" i="4"/>
  <c r="D165" i="4"/>
  <c r="E165" i="4"/>
  <c r="B165" i="4"/>
  <c r="C165" i="4"/>
  <c r="K165" i="4"/>
  <c r="F165" i="4"/>
  <c r="G165" i="4" s="1"/>
  <c r="L165" i="4"/>
  <c r="AA90" i="4"/>
  <c r="AB90" i="4"/>
  <c r="AE89" i="4"/>
  <c r="AF89" i="4"/>
  <c r="AM161" i="4"/>
  <c r="AN161" i="4"/>
  <c r="Q166" i="4"/>
  <c r="I166" i="4" s="1"/>
  <c r="X155" i="4" l="1"/>
  <c r="Q167" i="4"/>
  <c r="I167" i="4" s="1"/>
  <c r="N93" i="4"/>
  <c r="Q93" i="4" s="1"/>
  <c r="I93" i="4" s="1"/>
  <c r="N168" i="4"/>
  <c r="P168" i="4" s="1"/>
  <c r="J168" i="4" s="1"/>
  <c r="AO161" i="4"/>
  <c r="AP161" i="4"/>
  <c r="AH163" i="4"/>
  <c r="AG163" i="4"/>
  <c r="Z165" i="4"/>
  <c r="AK162" i="4"/>
  <c r="AL162" i="4"/>
  <c r="P167" i="4"/>
  <c r="J167" i="4" s="1"/>
  <c r="AC164" i="4"/>
  <c r="AD164" i="4"/>
  <c r="V166" i="4"/>
  <c r="H166" i="4"/>
  <c r="Z91" i="4"/>
  <c r="BA84" i="4"/>
  <c r="BB84" i="4"/>
  <c r="D166" i="4"/>
  <c r="E166" i="4"/>
  <c r="F166" i="4"/>
  <c r="G166" i="4" s="1"/>
  <c r="C166" i="4"/>
  <c r="Y166" i="4"/>
  <c r="L166" i="4"/>
  <c r="B166" i="4"/>
  <c r="K166" i="4"/>
  <c r="AZ158" i="4"/>
  <c r="AY158" i="4"/>
  <c r="BF156" i="4"/>
  <c r="BE156" i="4"/>
  <c r="P92" i="4"/>
  <c r="J92" i="4" s="1"/>
  <c r="A92" i="4"/>
  <c r="U92" i="4"/>
  <c r="AX85" i="4"/>
  <c r="AW85" i="4"/>
  <c r="AG89" i="4"/>
  <c r="AH89" i="4"/>
  <c r="AV159" i="4"/>
  <c r="AU159" i="4"/>
  <c r="AK88" i="4"/>
  <c r="AL88" i="4"/>
  <c r="O92" i="4"/>
  <c r="W92" i="4" s="1"/>
  <c r="AP87" i="4"/>
  <c r="AO87" i="4"/>
  <c r="AC90" i="4"/>
  <c r="AD90" i="4"/>
  <c r="AV86" i="4"/>
  <c r="AU86" i="4"/>
  <c r="O167" i="4"/>
  <c r="W167" i="4" s="1"/>
  <c r="U167" i="4"/>
  <c r="A167" i="4"/>
  <c r="BG83" i="4"/>
  <c r="BH83" i="4"/>
  <c r="BI83" i="4" s="1"/>
  <c r="BA157" i="4"/>
  <c r="BB157" i="4"/>
  <c r="Q92" i="4"/>
  <c r="I92" i="4" s="1"/>
  <c r="AT160" i="4"/>
  <c r="AS160" i="4"/>
  <c r="X83" i="4" l="1"/>
  <c r="AJ89" i="4"/>
  <c r="AI89" i="4"/>
  <c r="BB158" i="4"/>
  <c r="BA158" i="4"/>
  <c r="Z166" i="4"/>
  <c r="AA91" i="4"/>
  <c r="AB91" i="4"/>
  <c r="Q168" i="4"/>
  <c r="I168" i="4" s="1"/>
  <c r="U168" i="4"/>
  <c r="A168" i="4"/>
  <c r="R93" i="4"/>
  <c r="S93" i="4" s="1"/>
  <c r="M94" i="4" s="1"/>
  <c r="Y167" i="4"/>
  <c r="E167" i="4"/>
  <c r="F167" i="4"/>
  <c r="G167" i="4" s="1"/>
  <c r="L167" i="4"/>
  <c r="C167" i="4"/>
  <c r="D167" i="4"/>
  <c r="B167" i="4"/>
  <c r="K167" i="4"/>
  <c r="V167" i="4"/>
  <c r="H167" i="4"/>
  <c r="AM88" i="4"/>
  <c r="AN88" i="4"/>
  <c r="BD157" i="4"/>
  <c r="BC157" i="4"/>
  <c r="BH156" i="4"/>
  <c r="BI156" i="4" s="1"/>
  <c r="BG156" i="4"/>
  <c r="BC84" i="4"/>
  <c r="BD84" i="4"/>
  <c r="AI163" i="4"/>
  <c r="AJ163" i="4"/>
  <c r="R168" i="4"/>
  <c r="S168" i="4" s="1"/>
  <c r="M169" i="4" s="1"/>
  <c r="AQ87" i="4"/>
  <c r="AR87" i="4"/>
  <c r="D92" i="4"/>
  <c r="B92" i="4"/>
  <c r="C92" i="4"/>
  <c r="L92" i="4"/>
  <c r="K92" i="4"/>
  <c r="F92" i="4"/>
  <c r="G92" i="4" s="1"/>
  <c r="Y92" i="4"/>
  <c r="E92" i="4"/>
  <c r="AM162" i="4"/>
  <c r="AN162" i="4"/>
  <c r="AA165" i="4"/>
  <c r="AB165" i="4"/>
  <c r="AR161" i="4"/>
  <c r="AQ161" i="4"/>
  <c r="O93" i="4"/>
  <c r="W93" i="4" s="1"/>
  <c r="A93" i="4"/>
  <c r="U93" i="4"/>
  <c r="AW86" i="4"/>
  <c r="AX86" i="4"/>
  <c r="AU160" i="4"/>
  <c r="AV160" i="4"/>
  <c r="AF90" i="4"/>
  <c r="AE90" i="4"/>
  <c r="V92" i="4"/>
  <c r="H92" i="4"/>
  <c r="AX159" i="4"/>
  <c r="AW159" i="4"/>
  <c r="AY85" i="4"/>
  <c r="AZ85" i="4"/>
  <c r="AF164" i="4"/>
  <c r="AE164" i="4"/>
  <c r="O168" i="4"/>
  <c r="W168" i="4" s="1"/>
  <c r="P93" i="4"/>
  <c r="J93" i="4" s="1"/>
  <c r="X156" i="4" l="1"/>
  <c r="BB85" i="4"/>
  <c r="BA85" i="4"/>
  <c r="AZ86" i="4"/>
  <c r="AY86" i="4"/>
  <c r="D93" i="4"/>
  <c r="B93" i="4"/>
  <c r="K93" i="4"/>
  <c r="E93" i="4"/>
  <c r="C93" i="4"/>
  <c r="L93" i="4"/>
  <c r="Y93" i="4"/>
  <c r="Z93" i="4" s="1"/>
  <c r="F93" i="4"/>
  <c r="G93" i="4" s="1"/>
  <c r="AC165" i="4"/>
  <c r="AD165" i="4"/>
  <c r="AS87" i="4"/>
  <c r="AT87" i="4"/>
  <c r="L168" i="4"/>
  <c r="C168" i="4"/>
  <c r="B168" i="4"/>
  <c r="E168" i="4"/>
  <c r="Y168" i="4"/>
  <c r="K168" i="4"/>
  <c r="F168" i="4"/>
  <c r="G168" i="4" s="1"/>
  <c r="D168" i="4"/>
  <c r="AC91" i="4"/>
  <c r="AD91" i="4"/>
  <c r="AG164" i="4"/>
  <c r="AH164" i="4"/>
  <c r="AZ159" i="4"/>
  <c r="AY159" i="4"/>
  <c r="AG90" i="4"/>
  <c r="AH90" i="4"/>
  <c r="V93" i="4"/>
  <c r="H93" i="4"/>
  <c r="Z92" i="4"/>
  <c r="BF84" i="4"/>
  <c r="BE84" i="4"/>
  <c r="BC158" i="4"/>
  <c r="BD158" i="4"/>
  <c r="AW160" i="4"/>
  <c r="AX160" i="4"/>
  <c r="AP162" i="4"/>
  <c r="AO162" i="4"/>
  <c r="N169" i="4"/>
  <c r="Q169" i="4" s="1"/>
  <c r="I169" i="4" s="1"/>
  <c r="BE157" i="4"/>
  <c r="BF157" i="4"/>
  <c r="Z167" i="4"/>
  <c r="H168" i="4"/>
  <c r="V168" i="4"/>
  <c r="AT161" i="4"/>
  <c r="AS161" i="4"/>
  <c r="AK163" i="4"/>
  <c r="AL163" i="4"/>
  <c r="AO88" i="4"/>
  <c r="AP88" i="4"/>
  <c r="N94" i="4"/>
  <c r="AA166" i="4"/>
  <c r="AB166" i="4"/>
  <c r="AL89" i="4"/>
  <c r="AK89" i="4"/>
  <c r="U94" i="4" l="1"/>
  <c r="A94" i="4"/>
  <c r="AN89" i="4"/>
  <c r="AM89" i="4"/>
  <c r="O94" i="4"/>
  <c r="W94" i="4" s="1"/>
  <c r="AR88" i="4"/>
  <c r="AQ88" i="4"/>
  <c r="R169" i="4"/>
  <c r="S169" i="4" s="1"/>
  <c r="M170" i="4" s="1"/>
  <c r="BC85" i="4"/>
  <c r="BD85" i="4"/>
  <c r="AC166" i="4"/>
  <c r="AD166" i="4"/>
  <c r="R94" i="4"/>
  <c r="S94" i="4" s="1"/>
  <c r="M95" i="4" s="1"/>
  <c r="AV161" i="4"/>
  <c r="AU161" i="4"/>
  <c r="AB167" i="4"/>
  <c r="AA167" i="4"/>
  <c r="P169" i="4"/>
  <c r="J169" i="4" s="1"/>
  <c r="AQ162" i="4"/>
  <c r="AR162" i="4"/>
  <c r="BE158" i="4"/>
  <c r="BF158" i="4"/>
  <c r="BG84" i="4"/>
  <c r="BH84" i="4"/>
  <c r="BI84" i="4" s="1"/>
  <c r="AV87" i="4"/>
  <c r="AU87" i="4"/>
  <c r="Q94" i="4"/>
  <c r="I94" i="4" s="1"/>
  <c r="AM163" i="4"/>
  <c r="AN163" i="4"/>
  <c r="BH157" i="4"/>
  <c r="BI157" i="4" s="1"/>
  <c r="BG157" i="4"/>
  <c r="BA159" i="4"/>
  <c r="BB159" i="4"/>
  <c r="AE91" i="4"/>
  <c r="AF91" i="4"/>
  <c r="AA93" i="4"/>
  <c r="AB93" i="4"/>
  <c r="BB86" i="4"/>
  <c r="BA86" i="4"/>
  <c r="P94" i="4"/>
  <c r="J94" i="4" s="1"/>
  <c r="O169" i="4"/>
  <c r="W169" i="4" s="1"/>
  <c r="A169" i="4"/>
  <c r="U169" i="4"/>
  <c r="AY160" i="4"/>
  <c r="AZ160" i="4"/>
  <c r="AB92" i="4"/>
  <c r="AA92" i="4"/>
  <c r="AI90" i="4"/>
  <c r="AJ90" i="4"/>
  <c r="AJ164" i="4"/>
  <c r="AI164" i="4"/>
  <c r="Z168" i="4"/>
  <c r="AF165" i="4"/>
  <c r="AE165" i="4"/>
  <c r="X157" i="4" l="1"/>
  <c r="X84" i="4"/>
  <c r="AH165" i="4"/>
  <c r="AG165" i="4"/>
  <c r="AK90" i="4"/>
  <c r="AL90" i="4"/>
  <c r="BA160" i="4"/>
  <c r="BB160" i="4"/>
  <c r="B169" i="4"/>
  <c r="Y169" i="4"/>
  <c r="L169" i="4"/>
  <c r="D169" i="4"/>
  <c r="C169" i="4"/>
  <c r="F169" i="4"/>
  <c r="G169" i="4" s="1"/>
  <c r="E169" i="4"/>
  <c r="K169" i="4"/>
  <c r="BC86" i="4"/>
  <c r="BD86" i="4"/>
  <c r="AP89" i="4"/>
  <c r="AO89" i="4"/>
  <c r="AD92" i="4"/>
  <c r="AC92" i="4"/>
  <c r="AB168" i="4"/>
  <c r="AA168" i="4"/>
  <c r="H169" i="4"/>
  <c r="V169" i="4"/>
  <c r="AC93" i="4"/>
  <c r="AD93" i="4"/>
  <c r="BC159" i="4"/>
  <c r="BD159" i="4"/>
  <c r="AP163" i="4"/>
  <c r="AO163" i="4"/>
  <c r="BH158" i="4"/>
  <c r="BI158" i="4" s="1"/>
  <c r="BG158" i="4"/>
  <c r="AX161" i="4"/>
  <c r="AW161" i="4"/>
  <c r="BF85" i="4"/>
  <c r="BE85" i="4"/>
  <c r="AS88" i="4"/>
  <c r="AT88" i="4"/>
  <c r="F94" i="4"/>
  <c r="G94" i="4" s="1"/>
  <c r="C94" i="4"/>
  <c r="Y94" i="4"/>
  <c r="B94" i="4"/>
  <c r="E94" i="4"/>
  <c r="D94" i="4"/>
  <c r="K94" i="4"/>
  <c r="L94" i="4"/>
  <c r="AW87" i="4"/>
  <c r="AX87" i="4"/>
  <c r="N95" i="4"/>
  <c r="P95" i="4" s="1"/>
  <c r="J95" i="4" s="1"/>
  <c r="V94" i="4"/>
  <c r="H94" i="4"/>
  <c r="AL164" i="4"/>
  <c r="AK164" i="4"/>
  <c r="AH91" i="4"/>
  <c r="AG91" i="4"/>
  <c r="AT162" i="4"/>
  <c r="AS162" i="4"/>
  <c r="AC167" i="4"/>
  <c r="AD167" i="4"/>
  <c r="AE166" i="4"/>
  <c r="AF166" i="4"/>
  <c r="N170" i="4"/>
  <c r="X158" i="4" l="1"/>
  <c r="O170" i="4"/>
  <c r="W170" i="4" s="1"/>
  <c r="A170" i="4"/>
  <c r="U170" i="4"/>
  <c r="AH166" i="4"/>
  <c r="AG166" i="4"/>
  <c r="R95" i="4"/>
  <c r="S95" i="4" s="1"/>
  <c r="M96" i="4" s="1"/>
  <c r="BH85" i="4"/>
  <c r="BI85" i="4" s="1"/>
  <c r="BG85" i="4"/>
  <c r="AE92" i="4"/>
  <c r="AF92" i="4"/>
  <c r="AJ165" i="4"/>
  <c r="AI165" i="4"/>
  <c r="AI91" i="4"/>
  <c r="AJ91" i="4"/>
  <c r="P170" i="4"/>
  <c r="J170" i="4" s="1"/>
  <c r="Q170" i="4"/>
  <c r="I170" i="4" s="1"/>
  <c r="AU162" i="4"/>
  <c r="AV162" i="4"/>
  <c r="AM164" i="4"/>
  <c r="AN164" i="4"/>
  <c r="Q95" i="4"/>
  <c r="I95" i="4" s="1"/>
  <c r="AY87" i="4"/>
  <c r="AZ87" i="4"/>
  <c r="AV88" i="4"/>
  <c r="AU88" i="4"/>
  <c r="AF93" i="4"/>
  <c r="AE93" i="4"/>
  <c r="BF86" i="4"/>
  <c r="BE86" i="4"/>
  <c r="Z169" i="4"/>
  <c r="AM90" i="4"/>
  <c r="AN90" i="4"/>
  <c r="R170" i="4"/>
  <c r="S170" i="4" s="1"/>
  <c r="M171" i="4" s="1"/>
  <c r="AE167" i="4"/>
  <c r="AF167" i="4"/>
  <c r="Z94" i="4"/>
  <c r="AY161" i="4"/>
  <c r="AZ161" i="4"/>
  <c r="AQ163" i="4"/>
  <c r="AR163" i="4"/>
  <c r="AC168" i="4"/>
  <c r="AD168" i="4"/>
  <c r="AQ89" i="4"/>
  <c r="AR89" i="4"/>
  <c r="O95" i="4"/>
  <c r="W95" i="4" s="1"/>
  <c r="U95" i="4"/>
  <c r="A95" i="4"/>
  <c r="BE159" i="4"/>
  <c r="BF159" i="4"/>
  <c r="BD160" i="4"/>
  <c r="BC160" i="4"/>
  <c r="X85" i="4" l="1"/>
  <c r="BG159" i="4"/>
  <c r="BH159" i="4"/>
  <c r="BI159" i="4" s="1"/>
  <c r="BA161" i="4"/>
  <c r="BB161" i="4"/>
  <c r="V95" i="4"/>
  <c r="H95" i="4"/>
  <c r="AW88" i="4"/>
  <c r="AX88" i="4"/>
  <c r="AO164" i="4"/>
  <c r="AP164" i="4"/>
  <c r="Y170" i="4"/>
  <c r="K170" i="4"/>
  <c r="L170" i="4"/>
  <c r="F170" i="4"/>
  <c r="G170" i="4" s="1"/>
  <c r="C170" i="4"/>
  <c r="B170" i="4"/>
  <c r="D170" i="4"/>
  <c r="E170" i="4"/>
  <c r="AS89" i="4"/>
  <c r="AT89" i="4"/>
  <c r="AT163" i="4"/>
  <c r="AS163" i="4"/>
  <c r="N171" i="4"/>
  <c r="P171" i="4" s="1"/>
  <c r="J171" i="4" s="1"/>
  <c r="AB169" i="4"/>
  <c r="AA169" i="4"/>
  <c r="BA87" i="4"/>
  <c r="BB87" i="4"/>
  <c r="AJ166" i="4"/>
  <c r="AI166" i="4"/>
  <c r="H170" i="4"/>
  <c r="V170" i="4"/>
  <c r="BE160" i="4"/>
  <c r="BF160" i="4"/>
  <c r="L95" i="4"/>
  <c r="Y95" i="4"/>
  <c r="D95" i="4"/>
  <c r="F95" i="4"/>
  <c r="G95" i="4" s="1"/>
  <c r="E95" i="4"/>
  <c r="C95" i="4"/>
  <c r="K95" i="4"/>
  <c r="B95" i="4"/>
  <c r="AB94" i="4"/>
  <c r="AA94" i="4"/>
  <c r="AP90" i="4"/>
  <c r="AO90" i="4"/>
  <c r="AG93" i="4"/>
  <c r="AH93" i="4"/>
  <c r="AX162" i="4"/>
  <c r="AW162" i="4"/>
  <c r="AL165" i="4"/>
  <c r="AK165" i="4"/>
  <c r="AF168" i="4"/>
  <c r="AE168" i="4"/>
  <c r="AG167" i="4"/>
  <c r="AH167" i="4"/>
  <c r="BH86" i="4"/>
  <c r="BI86" i="4" s="1"/>
  <c r="BG86" i="4"/>
  <c r="AL91" i="4"/>
  <c r="AK91" i="4"/>
  <c r="AG92" i="4"/>
  <c r="AH92" i="4"/>
  <c r="N96" i="4"/>
  <c r="X86" i="4" l="1"/>
  <c r="X159" i="4"/>
  <c r="R96" i="4"/>
  <c r="S96" i="4" s="1"/>
  <c r="M97" i="4" s="1"/>
  <c r="A96" i="4"/>
  <c r="U96" i="4"/>
  <c r="AM91" i="4"/>
  <c r="AN91" i="4"/>
  <c r="AM165" i="4"/>
  <c r="AN165" i="4"/>
  <c r="AC94" i="4"/>
  <c r="AD94" i="4"/>
  <c r="Q171" i="4"/>
  <c r="I171" i="4" s="1"/>
  <c r="AU163" i="4"/>
  <c r="AV163" i="4"/>
  <c r="AR164" i="4"/>
  <c r="AQ164" i="4"/>
  <c r="O96" i="4"/>
  <c r="W96" i="4" s="1"/>
  <c r="Q96" i="4"/>
  <c r="I96" i="4" s="1"/>
  <c r="AI92" i="4"/>
  <c r="AJ92" i="4"/>
  <c r="BG160" i="4"/>
  <c r="BH160" i="4"/>
  <c r="BI160" i="4" s="1"/>
  <c r="AU89" i="4"/>
  <c r="AV89" i="4"/>
  <c r="AG168" i="4"/>
  <c r="AH168" i="4"/>
  <c r="AY162" i="4"/>
  <c r="AZ162" i="4"/>
  <c r="AR90" i="4"/>
  <c r="AQ90" i="4"/>
  <c r="AL166" i="4"/>
  <c r="AK166" i="4"/>
  <c r="AC169" i="4"/>
  <c r="AD169" i="4"/>
  <c r="R171" i="4"/>
  <c r="S171" i="4" s="1"/>
  <c r="M172" i="4" s="1"/>
  <c r="A171" i="4"/>
  <c r="U171" i="4"/>
  <c r="Z170" i="4"/>
  <c r="AZ88" i="4"/>
  <c r="AY88" i="4"/>
  <c r="BD161" i="4"/>
  <c r="BC161" i="4"/>
  <c r="P96" i="4"/>
  <c r="J96" i="4" s="1"/>
  <c r="AJ167" i="4"/>
  <c r="AI167" i="4"/>
  <c r="AI93" i="4"/>
  <c r="AJ93" i="4"/>
  <c r="Z95" i="4"/>
  <c r="BC87" i="4"/>
  <c r="BD87" i="4"/>
  <c r="O171" i="4"/>
  <c r="W171" i="4" s="1"/>
  <c r="X160" i="4" l="1"/>
  <c r="AL93" i="4"/>
  <c r="AK93" i="4"/>
  <c r="BA88" i="4"/>
  <c r="BB88" i="4"/>
  <c r="F171" i="4"/>
  <c r="G171" i="4" s="1"/>
  <c r="B171" i="4"/>
  <c r="E171" i="4"/>
  <c r="D171" i="4"/>
  <c r="L171" i="4"/>
  <c r="C171" i="4"/>
  <c r="Y171" i="4"/>
  <c r="K171" i="4"/>
  <c r="AS90" i="4"/>
  <c r="AT90" i="4"/>
  <c r="AT164" i="4"/>
  <c r="AS164" i="4"/>
  <c r="AF94" i="4"/>
  <c r="AE94" i="4"/>
  <c r="AP91" i="4"/>
  <c r="AO91" i="4"/>
  <c r="K96" i="4"/>
  <c r="L96" i="4"/>
  <c r="E96" i="4"/>
  <c r="B96" i="4"/>
  <c r="Y96" i="4"/>
  <c r="C96" i="4"/>
  <c r="F96" i="4"/>
  <c r="G96" i="4" s="1"/>
  <c r="D96" i="4"/>
  <c r="BB162" i="4"/>
  <c r="BA162" i="4"/>
  <c r="AX89" i="4"/>
  <c r="AW89" i="4"/>
  <c r="AX163" i="4"/>
  <c r="AW163" i="4"/>
  <c r="N97" i="4"/>
  <c r="R97" i="4" s="1"/>
  <c r="S97" i="4" s="1"/>
  <c r="M98" i="4" s="1"/>
  <c r="V171" i="4"/>
  <c r="H171" i="4"/>
  <c r="N172" i="4"/>
  <c r="AN166" i="4"/>
  <c r="AM166" i="4"/>
  <c r="H96" i="4"/>
  <c r="V96" i="4"/>
  <c r="AP165" i="4"/>
  <c r="AO165" i="4"/>
  <c r="AB95" i="4"/>
  <c r="AA95" i="4"/>
  <c r="BF161" i="4"/>
  <c r="BE161" i="4"/>
  <c r="AB170" i="4"/>
  <c r="AA170" i="4"/>
  <c r="BF87" i="4"/>
  <c r="BE87" i="4"/>
  <c r="AK167" i="4"/>
  <c r="AL167" i="4"/>
  <c r="AE169" i="4"/>
  <c r="AF169" i="4"/>
  <c r="AI168" i="4"/>
  <c r="AJ168" i="4"/>
  <c r="AL92" i="4"/>
  <c r="AK92" i="4"/>
  <c r="N98" i="4" l="1"/>
  <c r="R98" i="4" s="1"/>
  <c r="S98" i="4" s="1"/>
  <c r="M99" i="4" s="1"/>
  <c r="BH87" i="4"/>
  <c r="BI87" i="4" s="1"/>
  <c r="BG87" i="4"/>
  <c r="P172" i="4"/>
  <c r="J172" i="4" s="1"/>
  <c r="U172" i="4"/>
  <c r="A172" i="4"/>
  <c r="AY163" i="4"/>
  <c r="AZ163" i="4"/>
  <c r="BD162" i="4"/>
  <c r="BC162" i="4"/>
  <c r="Z96" i="4"/>
  <c r="AG94" i="4"/>
  <c r="AH94" i="4"/>
  <c r="AM93" i="4"/>
  <c r="AN93" i="4"/>
  <c r="AN92" i="4"/>
  <c r="AM92" i="4"/>
  <c r="BG161" i="4"/>
  <c r="BH161" i="4"/>
  <c r="BI161" i="4" s="1"/>
  <c r="O172" i="4"/>
  <c r="W172" i="4" s="1"/>
  <c r="O97" i="4"/>
  <c r="W97" i="4" s="1"/>
  <c r="A97" i="4"/>
  <c r="U97" i="4"/>
  <c r="BD88" i="4"/>
  <c r="BC88" i="4"/>
  <c r="AQ165" i="4"/>
  <c r="AR165" i="4"/>
  <c r="AC170" i="4"/>
  <c r="AD170" i="4"/>
  <c r="AC95" i="4"/>
  <c r="AD95" i="4"/>
  <c r="Q172" i="4"/>
  <c r="I172" i="4" s="1"/>
  <c r="Q97" i="4"/>
  <c r="I97" i="4" s="1"/>
  <c r="AZ89" i="4"/>
  <c r="AY89" i="4"/>
  <c r="AQ91" i="4"/>
  <c r="AR91" i="4"/>
  <c r="AU164" i="4"/>
  <c r="AV164" i="4"/>
  <c r="Z171" i="4"/>
  <c r="AO166" i="4"/>
  <c r="AP166" i="4"/>
  <c r="AL168" i="4"/>
  <c r="AK168" i="4"/>
  <c r="AM167" i="4"/>
  <c r="AN167" i="4"/>
  <c r="AH169" i="4"/>
  <c r="AG169" i="4"/>
  <c r="R172" i="4"/>
  <c r="S172" i="4" s="1"/>
  <c r="M173" i="4" s="1"/>
  <c r="P97" i="4"/>
  <c r="J97" i="4" s="1"/>
  <c r="AU90" i="4"/>
  <c r="AV90" i="4"/>
  <c r="X87" i="4" l="1"/>
  <c r="X161" i="4"/>
  <c r="N99" i="4"/>
  <c r="Q99" i="4" s="1"/>
  <c r="I99" i="4" s="1"/>
  <c r="AW90" i="4"/>
  <c r="AX90" i="4"/>
  <c r="BA89" i="4"/>
  <c r="BB89" i="4"/>
  <c r="AS91" i="4"/>
  <c r="AT91" i="4"/>
  <c r="AE170" i="4"/>
  <c r="AF170" i="4"/>
  <c r="Y97" i="4"/>
  <c r="D97" i="4"/>
  <c r="E97" i="4"/>
  <c r="K97" i="4"/>
  <c r="L97" i="4"/>
  <c r="C97" i="4"/>
  <c r="F97" i="4"/>
  <c r="G97" i="4" s="1"/>
  <c r="B97" i="4"/>
  <c r="AO92" i="4"/>
  <c r="AP92" i="4"/>
  <c r="BF162" i="4"/>
  <c r="BE162" i="4"/>
  <c r="Q98" i="4"/>
  <c r="I98" i="4" s="1"/>
  <c r="N173" i="4"/>
  <c r="P173" i="4" s="1"/>
  <c r="J173" i="4" s="1"/>
  <c r="AI169" i="4"/>
  <c r="AJ169" i="4"/>
  <c r="AN168" i="4"/>
  <c r="AM168" i="4"/>
  <c r="AB171" i="4"/>
  <c r="AA171" i="4"/>
  <c r="AO93" i="4"/>
  <c r="AP93" i="4"/>
  <c r="BA163" i="4"/>
  <c r="BB163" i="4"/>
  <c r="O98" i="4"/>
  <c r="W98" i="4" s="1"/>
  <c r="AO167" i="4"/>
  <c r="AP167" i="4"/>
  <c r="AR166" i="4"/>
  <c r="AQ166" i="4"/>
  <c r="AW164" i="4"/>
  <c r="AX164" i="4"/>
  <c r="AE95" i="4"/>
  <c r="AF95" i="4"/>
  <c r="BE88" i="4"/>
  <c r="BF88" i="4"/>
  <c r="V97" i="4"/>
  <c r="H97" i="4"/>
  <c r="AB96" i="4"/>
  <c r="AA96" i="4"/>
  <c r="AT165" i="4"/>
  <c r="AS165" i="4"/>
  <c r="H172" i="4"/>
  <c r="V172" i="4"/>
  <c r="AJ94" i="4"/>
  <c r="AI94" i="4"/>
  <c r="L172" i="4"/>
  <c r="K172" i="4"/>
  <c r="B172" i="4"/>
  <c r="E172" i="4"/>
  <c r="F172" i="4"/>
  <c r="G172" i="4" s="1"/>
  <c r="D172" i="4"/>
  <c r="Y172" i="4"/>
  <c r="C172" i="4"/>
  <c r="P98" i="4"/>
  <c r="J98" i="4" s="1"/>
  <c r="A98" i="4"/>
  <c r="U98" i="4"/>
  <c r="BH88" i="4" l="1"/>
  <c r="BI88" i="4" s="1"/>
  <c r="BG88" i="4"/>
  <c r="AY164" i="4"/>
  <c r="AZ164" i="4"/>
  <c r="AR167" i="4"/>
  <c r="AQ167" i="4"/>
  <c r="AD171" i="4"/>
  <c r="AC171" i="4"/>
  <c r="O173" i="4"/>
  <c r="W173" i="4" s="1"/>
  <c r="A173" i="4"/>
  <c r="U173" i="4"/>
  <c r="AQ92" i="4"/>
  <c r="AR92" i="4"/>
  <c r="AV91" i="4"/>
  <c r="AU91" i="4"/>
  <c r="AZ90" i="4"/>
  <c r="AY90" i="4"/>
  <c r="AD96" i="4"/>
  <c r="AC96" i="4"/>
  <c r="AQ93" i="4"/>
  <c r="AR93" i="4"/>
  <c r="Z97" i="4"/>
  <c r="P99" i="4"/>
  <c r="J99" i="4" s="1"/>
  <c r="A99" i="4"/>
  <c r="U99" i="4"/>
  <c r="AH95" i="4"/>
  <c r="AG95" i="4"/>
  <c r="V98" i="4"/>
  <c r="H98" i="4"/>
  <c r="AO168" i="4"/>
  <c r="AP168" i="4"/>
  <c r="Q173" i="4"/>
  <c r="I173" i="4" s="1"/>
  <c r="AG170" i="4"/>
  <c r="AH170" i="4"/>
  <c r="BC89" i="4"/>
  <c r="BD89" i="4"/>
  <c r="O99" i="4"/>
  <c r="W99" i="4" s="1"/>
  <c r="B98" i="4"/>
  <c r="E98" i="4"/>
  <c r="L98" i="4"/>
  <c r="C98" i="4"/>
  <c r="D98" i="4"/>
  <c r="K98" i="4"/>
  <c r="Y98" i="4"/>
  <c r="F98" i="4"/>
  <c r="G98" i="4" s="1"/>
  <c r="Z172" i="4"/>
  <c r="AL94" i="4"/>
  <c r="AK94" i="4"/>
  <c r="AV165" i="4"/>
  <c r="AU165" i="4"/>
  <c r="AT166" i="4"/>
  <c r="AS166" i="4"/>
  <c r="BC163" i="4"/>
  <c r="BD163" i="4"/>
  <c r="AL169" i="4"/>
  <c r="AK169" i="4"/>
  <c r="R173" i="4"/>
  <c r="S173" i="4" s="1"/>
  <c r="M174" i="4" s="1"/>
  <c r="BH162" i="4"/>
  <c r="BI162" i="4" s="1"/>
  <c r="BG162" i="4"/>
  <c r="R99" i="4"/>
  <c r="S99" i="4" s="1"/>
  <c r="M100" i="4" s="1"/>
  <c r="X88" i="4" l="1"/>
  <c r="X162" i="4"/>
  <c r="H99" i="4"/>
  <c r="V99" i="4"/>
  <c r="BB90" i="4"/>
  <c r="BA90" i="4"/>
  <c r="V173" i="4"/>
  <c r="H173" i="4"/>
  <c r="AS167" i="4"/>
  <c r="AT167" i="4"/>
  <c r="AM169" i="4"/>
  <c r="AN169" i="4"/>
  <c r="AV166" i="4"/>
  <c r="AU166" i="4"/>
  <c r="AM94" i="4"/>
  <c r="AN94" i="4"/>
  <c r="Z98" i="4"/>
  <c r="BE89" i="4"/>
  <c r="BF89" i="4"/>
  <c r="BB164" i="4"/>
  <c r="BA164" i="4"/>
  <c r="N174" i="4"/>
  <c r="Q174" i="4" s="1"/>
  <c r="I174" i="4" s="1"/>
  <c r="BE163" i="4"/>
  <c r="BF163" i="4"/>
  <c r="AQ168" i="4"/>
  <c r="AR168" i="4"/>
  <c r="AA97" i="4"/>
  <c r="AB97" i="4"/>
  <c r="AF96" i="4"/>
  <c r="AE96" i="4"/>
  <c r="AX91" i="4"/>
  <c r="AW91" i="4"/>
  <c r="F173" i="4"/>
  <c r="G173" i="4" s="1"/>
  <c r="D173" i="4"/>
  <c r="C173" i="4"/>
  <c r="L173" i="4"/>
  <c r="K173" i="4"/>
  <c r="B173" i="4"/>
  <c r="E173" i="4"/>
  <c r="Y173" i="4"/>
  <c r="AF171" i="4"/>
  <c r="AE171" i="4"/>
  <c r="N100" i="4"/>
  <c r="AW165" i="4"/>
  <c r="AX165" i="4"/>
  <c r="AB172" i="4"/>
  <c r="AA172" i="4"/>
  <c r="AJ170" i="4"/>
  <c r="AI170" i="4"/>
  <c r="AI95" i="4"/>
  <c r="AJ95" i="4"/>
  <c r="K99" i="4"/>
  <c r="D99" i="4"/>
  <c r="C99" i="4"/>
  <c r="Y99" i="4"/>
  <c r="F99" i="4"/>
  <c r="G99" i="4" s="1"/>
  <c r="E99" i="4"/>
  <c r="B99" i="4"/>
  <c r="L99" i="4"/>
  <c r="AS93" i="4"/>
  <c r="AT93" i="4"/>
  <c r="AS92" i="4"/>
  <c r="AT92" i="4"/>
  <c r="Q100" i="4" l="1"/>
  <c r="I100" i="4" s="1"/>
  <c r="U100" i="4"/>
  <c r="A100" i="4"/>
  <c r="AU93" i="4"/>
  <c r="AV93" i="4"/>
  <c r="AZ165" i="4"/>
  <c r="AY165" i="4"/>
  <c r="P100" i="4"/>
  <c r="J100" i="4" s="1"/>
  <c r="Z173" i="4"/>
  <c r="AD97" i="4"/>
  <c r="AC97" i="4"/>
  <c r="BG163" i="4"/>
  <c r="BH163" i="4"/>
  <c r="BI163" i="4" s="1"/>
  <c r="BH89" i="4"/>
  <c r="BI89" i="4" s="1"/>
  <c r="BG89" i="4"/>
  <c r="AO94" i="4"/>
  <c r="AP94" i="4"/>
  <c r="AO169" i="4"/>
  <c r="AP169" i="4"/>
  <c r="AK170" i="4"/>
  <c r="AL170" i="4"/>
  <c r="AZ91" i="4"/>
  <c r="AY91" i="4"/>
  <c r="R174" i="4"/>
  <c r="S174" i="4" s="1"/>
  <c r="M175" i="4" s="1"/>
  <c r="U174" i="4"/>
  <c r="A174" i="4"/>
  <c r="Z99" i="4"/>
  <c r="AK95" i="4"/>
  <c r="AL95" i="4"/>
  <c r="R100" i="4"/>
  <c r="S100" i="4" s="1"/>
  <c r="M101" i="4" s="1"/>
  <c r="AS168" i="4"/>
  <c r="AT168" i="4"/>
  <c r="P174" i="4"/>
  <c r="J174" i="4" s="1"/>
  <c r="AU167" i="4"/>
  <c r="AV167" i="4"/>
  <c r="AV92" i="4"/>
  <c r="AU92" i="4"/>
  <c r="AC172" i="4"/>
  <c r="AD172" i="4"/>
  <c r="O100" i="4"/>
  <c r="W100" i="4" s="1"/>
  <c r="AG171" i="4"/>
  <c r="AH171" i="4"/>
  <c r="AH96" i="4"/>
  <c r="AG96" i="4"/>
  <c r="O174" i="4"/>
  <c r="W174" i="4" s="1"/>
  <c r="BC164" i="4"/>
  <c r="BD164" i="4"/>
  <c r="AA98" i="4"/>
  <c r="AB98" i="4"/>
  <c r="AX166" i="4"/>
  <c r="AW166" i="4"/>
  <c r="BD90" i="4"/>
  <c r="BC90" i="4"/>
  <c r="X163" i="4" l="1"/>
  <c r="X89" i="4"/>
  <c r="AY166" i="4"/>
  <c r="AZ166" i="4"/>
  <c r="AI171" i="4"/>
  <c r="AJ171" i="4"/>
  <c r="AR169" i="4"/>
  <c r="AQ169" i="4"/>
  <c r="AX93" i="4"/>
  <c r="AW93" i="4"/>
  <c r="AD98" i="4"/>
  <c r="AC98" i="4"/>
  <c r="N101" i="4"/>
  <c r="O101" i="4" s="1"/>
  <c r="BB91" i="4"/>
  <c r="BA91" i="4"/>
  <c r="AE97" i="4"/>
  <c r="AF97" i="4"/>
  <c r="BF90" i="4"/>
  <c r="BE90" i="4"/>
  <c r="AV168" i="4"/>
  <c r="AU168" i="4"/>
  <c r="AA99" i="4"/>
  <c r="AB99" i="4"/>
  <c r="N175" i="4"/>
  <c r="O175" i="4" s="1"/>
  <c r="AN170" i="4"/>
  <c r="AM170" i="4"/>
  <c r="AQ94" i="4"/>
  <c r="AR94" i="4"/>
  <c r="BB165" i="4"/>
  <c r="BA165" i="4"/>
  <c r="K100" i="4"/>
  <c r="E100" i="4"/>
  <c r="B100" i="4"/>
  <c r="Y100" i="4"/>
  <c r="L100" i="4"/>
  <c r="D100" i="4"/>
  <c r="C100" i="4"/>
  <c r="F100" i="4"/>
  <c r="G100" i="4" s="1"/>
  <c r="V174" i="4"/>
  <c r="H174" i="4"/>
  <c r="H100" i="4"/>
  <c r="V100" i="4"/>
  <c r="AX92" i="4"/>
  <c r="AW92" i="4"/>
  <c r="BF164" i="4"/>
  <c r="BE164" i="4"/>
  <c r="AI96" i="4"/>
  <c r="AJ96" i="4"/>
  <c r="AE172" i="4"/>
  <c r="AF172" i="4"/>
  <c r="AW167" i="4"/>
  <c r="AX167" i="4"/>
  <c r="AM95" i="4"/>
  <c r="AN95" i="4"/>
  <c r="B174" i="4"/>
  <c r="C174" i="4"/>
  <c r="Y174" i="4"/>
  <c r="F174" i="4"/>
  <c r="G174" i="4" s="1"/>
  <c r="E174" i="4"/>
  <c r="K174" i="4"/>
  <c r="D174" i="4"/>
  <c r="L174" i="4"/>
  <c r="AA173" i="4"/>
  <c r="AB173" i="4"/>
  <c r="R175" i="4" l="1"/>
  <c r="S175" i="4" s="1"/>
  <c r="M176" i="4" s="1"/>
  <c r="N176" i="4" s="1"/>
  <c r="R176" i="4" s="1"/>
  <c r="S176" i="4" s="1"/>
  <c r="M177" i="4" s="1"/>
  <c r="Q101" i="4"/>
  <c r="I101" i="4" s="1"/>
  <c r="H175" i="4"/>
  <c r="V175" i="4"/>
  <c r="V101" i="4"/>
  <c r="H101" i="4"/>
  <c r="AP95" i="4"/>
  <c r="AO95" i="4"/>
  <c r="Z100" i="4"/>
  <c r="AZ92" i="4"/>
  <c r="AY92" i="4"/>
  <c r="BG90" i="4"/>
  <c r="BH90" i="4"/>
  <c r="BI90" i="4" s="1"/>
  <c r="BD91" i="4"/>
  <c r="BC91" i="4"/>
  <c r="AL171" i="4"/>
  <c r="AK171" i="4"/>
  <c r="AG97" i="4"/>
  <c r="AH97" i="4"/>
  <c r="A101" i="4"/>
  <c r="U101" i="4"/>
  <c r="W101" i="4"/>
  <c r="AZ93" i="4"/>
  <c r="AY93" i="4"/>
  <c r="BD165" i="4"/>
  <c r="BC165" i="4"/>
  <c r="AO170" i="4"/>
  <c r="AP170" i="4"/>
  <c r="Q175" i="4"/>
  <c r="I175" i="4" s="1"/>
  <c r="U175" i="4"/>
  <c r="W175" i="4"/>
  <c r="A175" i="4"/>
  <c r="AW168" i="4"/>
  <c r="AX168" i="4"/>
  <c r="P101" i="4"/>
  <c r="J101" i="4" s="1"/>
  <c r="BB166" i="4"/>
  <c r="BA166" i="4"/>
  <c r="AG172" i="4"/>
  <c r="AH172" i="4"/>
  <c r="Z174" i="4"/>
  <c r="BG164" i="4"/>
  <c r="BH164" i="4"/>
  <c r="BI164" i="4" s="1"/>
  <c r="AD173" i="4"/>
  <c r="AC173" i="4"/>
  <c r="AZ167" i="4"/>
  <c r="AY167" i="4"/>
  <c r="AL96" i="4"/>
  <c r="AK96" i="4"/>
  <c r="AT94" i="4"/>
  <c r="AS94" i="4"/>
  <c r="P175" i="4"/>
  <c r="J175" i="4" s="1"/>
  <c r="AD99" i="4"/>
  <c r="AC99" i="4"/>
  <c r="R101" i="4"/>
  <c r="S101" i="4" s="1"/>
  <c r="M102" i="4" s="1"/>
  <c r="AE98" i="4"/>
  <c r="AF98" i="4"/>
  <c r="AT169" i="4"/>
  <c r="AS169" i="4"/>
  <c r="X164" i="4" l="1"/>
  <c r="X90" i="4"/>
  <c r="N177" i="4"/>
  <c r="Q177" i="4" s="1"/>
  <c r="I177" i="4" s="1"/>
  <c r="AG98" i="4"/>
  <c r="AH98" i="4"/>
  <c r="AI172" i="4"/>
  <c r="AJ172" i="4"/>
  <c r="B101" i="4"/>
  <c r="C101" i="4"/>
  <c r="D101" i="4"/>
  <c r="E101" i="4"/>
  <c r="Y101" i="4"/>
  <c r="Z101" i="4" s="1"/>
  <c r="K101" i="4"/>
  <c r="F101" i="4"/>
  <c r="G101" i="4" s="1"/>
  <c r="L101" i="4"/>
  <c r="O176" i="4"/>
  <c r="W176" i="4" s="1"/>
  <c r="AN171" i="4"/>
  <c r="AM171" i="4"/>
  <c r="AQ95" i="4"/>
  <c r="AR95" i="4"/>
  <c r="N102" i="4"/>
  <c r="Q102" i="4" s="1"/>
  <c r="I102" i="4" s="1"/>
  <c r="AV169" i="4"/>
  <c r="AU169" i="4"/>
  <c r="AU94" i="4"/>
  <c r="AV94" i="4"/>
  <c r="BB167" i="4"/>
  <c r="BA167" i="4"/>
  <c r="AZ168" i="4"/>
  <c r="AY168" i="4"/>
  <c r="BA93" i="4"/>
  <c r="BB93" i="4"/>
  <c r="AI97" i="4"/>
  <c r="AJ97" i="4"/>
  <c r="BE165" i="4"/>
  <c r="BF165" i="4"/>
  <c r="P176" i="4"/>
  <c r="J176" i="4" s="1"/>
  <c r="A176" i="4"/>
  <c r="U176" i="4"/>
  <c r="BF91" i="4"/>
  <c r="BE91" i="4"/>
  <c r="AB100" i="4"/>
  <c r="AA100" i="4"/>
  <c r="AE99" i="4"/>
  <c r="AF99" i="4"/>
  <c r="AN96" i="4"/>
  <c r="AM96" i="4"/>
  <c r="AF173" i="4"/>
  <c r="AE173" i="4"/>
  <c r="AA174" i="4"/>
  <c r="AB174" i="4"/>
  <c r="BD166" i="4"/>
  <c r="BC166" i="4"/>
  <c r="E175" i="4"/>
  <c r="F175" i="4"/>
  <c r="G175" i="4" s="1"/>
  <c r="K175" i="4"/>
  <c r="D175" i="4"/>
  <c r="Y175" i="4"/>
  <c r="Z175" i="4" s="1"/>
  <c r="L175" i="4"/>
  <c r="C175" i="4"/>
  <c r="B175" i="4"/>
  <c r="AR170" i="4"/>
  <c r="AQ170" i="4"/>
  <c r="Q176" i="4"/>
  <c r="I176" i="4" s="1"/>
  <c r="BA92" i="4"/>
  <c r="BB92" i="4"/>
  <c r="AG99" i="4" l="1"/>
  <c r="AH99" i="4"/>
  <c r="BF166" i="4"/>
  <c r="BE166" i="4"/>
  <c r="AH173" i="4"/>
  <c r="AG173" i="4"/>
  <c r="BH91" i="4"/>
  <c r="BI91" i="4" s="1"/>
  <c r="BG91" i="4"/>
  <c r="AL97" i="4"/>
  <c r="AK97" i="4"/>
  <c r="AX94" i="4"/>
  <c r="AW94" i="4"/>
  <c r="P102" i="4"/>
  <c r="J102" i="4" s="1"/>
  <c r="AS95" i="4"/>
  <c r="AT95" i="4"/>
  <c r="V176" i="4"/>
  <c r="H176" i="4"/>
  <c r="AA101" i="4"/>
  <c r="AB101" i="4"/>
  <c r="P177" i="4"/>
  <c r="J177" i="4" s="1"/>
  <c r="BD92" i="4"/>
  <c r="BC92" i="4"/>
  <c r="C176" i="4"/>
  <c r="Y176" i="4"/>
  <c r="Z176" i="4" s="1"/>
  <c r="K176" i="4"/>
  <c r="E176" i="4"/>
  <c r="F176" i="4"/>
  <c r="G176" i="4" s="1"/>
  <c r="D176" i="4"/>
  <c r="B176" i="4"/>
  <c r="L176" i="4"/>
  <c r="AC174" i="4"/>
  <c r="AD174" i="4"/>
  <c r="BG165" i="4"/>
  <c r="BH165" i="4"/>
  <c r="BI165" i="4" s="1"/>
  <c r="BA168" i="4"/>
  <c r="BB168" i="4"/>
  <c r="O102" i="4"/>
  <c r="W102" i="4" s="1"/>
  <c r="AL172" i="4"/>
  <c r="AK172" i="4"/>
  <c r="O177" i="4"/>
  <c r="W177" i="4" s="1"/>
  <c r="K33" i="10" s="1"/>
  <c r="AS170" i="4"/>
  <c r="AT170" i="4"/>
  <c r="AB175" i="4"/>
  <c r="AA175" i="4"/>
  <c r="AO96" i="4"/>
  <c r="AP96" i="4"/>
  <c r="AC100" i="4"/>
  <c r="AD100" i="4"/>
  <c r="BC93" i="4"/>
  <c r="BD93" i="4"/>
  <c r="BC167" i="4"/>
  <c r="BD167" i="4"/>
  <c r="AW169" i="4"/>
  <c r="AX169" i="4"/>
  <c r="R102" i="4"/>
  <c r="S102" i="4" s="1"/>
  <c r="M103" i="4" s="1"/>
  <c r="A102" i="4"/>
  <c r="U102" i="4"/>
  <c r="AO171" i="4"/>
  <c r="AP171" i="4"/>
  <c r="AI98" i="4"/>
  <c r="AJ98" i="4"/>
  <c r="R177" i="4"/>
  <c r="S177" i="4" s="1"/>
  <c r="A177" i="4"/>
  <c r="U177" i="4"/>
  <c r="N12" i="4" s="1"/>
  <c r="X165" i="4" l="1"/>
  <c r="X91" i="4"/>
  <c r="AQ171" i="4"/>
  <c r="AR171" i="4"/>
  <c r="E12" i="4"/>
  <c r="K32" i="10"/>
  <c r="AU170" i="4"/>
  <c r="AV170" i="4"/>
  <c r="AN172" i="4"/>
  <c r="AM172" i="4"/>
  <c r="AF174" i="4"/>
  <c r="AE174" i="4"/>
  <c r="AB176" i="4"/>
  <c r="AA176" i="4"/>
  <c r="B102" i="4"/>
  <c r="D102" i="4"/>
  <c r="E102" i="4"/>
  <c r="Y102" i="4"/>
  <c r="K102" i="4"/>
  <c r="C102" i="4"/>
  <c r="L102" i="4"/>
  <c r="F102" i="4"/>
  <c r="G102" i="4" s="1"/>
  <c r="BF167" i="4"/>
  <c r="BE167" i="4"/>
  <c r="AE100" i="4"/>
  <c r="AF100" i="4"/>
  <c r="AD101" i="4"/>
  <c r="AC101" i="4"/>
  <c r="AU95" i="4"/>
  <c r="AV95" i="4"/>
  <c r="AZ94" i="4"/>
  <c r="AY94" i="4"/>
  <c r="BH166" i="4"/>
  <c r="BI166" i="4" s="1"/>
  <c r="BG166" i="4"/>
  <c r="N103" i="4"/>
  <c r="R103" i="4" s="1"/>
  <c r="S103" i="4" s="1"/>
  <c r="M104" i="4" s="1"/>
  <c r="H177" i="4"/>
  <c r="V177" i="4"/>
  <c r="N13" i="4" s="1"/>
  <c r="V102" i="4"/>
  <c r="H102" i="4"/>
  <c r="AI99" i="4"/>
  <c r="AJ99" i="4"/>
  <c r="D177" i="4"/>
  <c r="L177" i="4"/>
  <c r="B177" i="4"/>
  <c r="E177" i="4"/>
  <c r="C177" i="4"/>
  <c r="Y177" i="4"/>
  <c r="Z177" i="4" s="1"/>
  <c r="K177" i="4"/>
  <c r="F177" i="4"/>
  <c r="G177" i="4" s="1"/>
  <c r="AK98" i="4"/>
  <c r="AL98" i="4"/>
  <c r="AZ169" i="4"/>
  <c r="AY169" i="4"/>
  <c r="BE93" i="4"/>
  <c r="BF93" i="4"/>
  <c r="AR96" i="4"/>
  <c r="AQ96" i="4"/>
  <c r="AC175" i="4"/>
  <c r="AD175" i="4"/>
  <c r="BC168" i="4"/>
  <c r="BD168" i="4"/>
  <c r="BF92" i="4"/>
  <c r="BE92" i="4"/>
  <c r="AN97" i="4"/>
  <c r="AM97" i="4"/>
  <c r="AJ173" i="4"/>
  <c r="AI173" i="4"/>
  <c r="X166" i="4" l="1"/>
  <c r="AN98" i="4"/>
  <c r="AM98" i="4"/>
  <c r="AO97" i="4"/>
  <c r="AP97" i="4"/>
  <c r="AS96" i="4"/>
  <c r="AT96" i="4"/>
  <c r="BB169" i="4"/>
  <c r="BA169" i="4"/>
  <c r="P103" i="4"/>
  <c r="J103" i="4" s="1"/>
  <c r="U103" i="4"/>
  <c r="A103" i="4"/>
  <c r="BB94" i="4"/>
  <c r="BA94" i="4"/>
  <c r="AE101" i="4"/>
  <c r="AF101" i="4"/>
  <c r="BH167" i="4"/>
  <c r="BI167" i="4" s="1"/>
  <c r="BG167" i="4"/>
  <c r="AG174" i="4"/>
  <c r="AH174" i="4"/>
  <c r="AF175" i="4"/>
  <c r="AE175" i="4"/>
  <c r="N104" i="4"/>
  <c r="O104" i="4" s="1"/>
  <c r="AX95" i="4"/>
  <c r="AW95" i="4"/>
  <c r="AH100" i="4"/>
  <c r="AG100" i="4"/>
  <c r="Z102" i="4"/>
  <c r="AA177" i="4"/>
  <c r="AB177" i="4"/>
  <c r="AL173" i="4"/>
  <c r="AK173" i="4"/>
  <c r="Q103" i="4"/>
  <c r="I103" i="4" s="1"/>
  <c r="AC176" i="4"/>
  <c r="AD176" i="4"/>
  <c r="AO172" i="4"/>
  <c r="AP172" i="4"/>
  <c r="BH93" i="4"/>
  <c r="BI93" i="4" s="1"/>
  <c r="BG93" i="4"/>
  <c r="BG92" i="4"/>
  <c r="BH92" i="4"/>
  <c r="BI92" i="4" s="1"/>
  <c r="BF168" i="4"/>
  <c r="BE168" i="4"/>
  <c r="AK99" i="4"/>
  <c r="AL99" i="4"/>
  <c r="Q32" i="10"/>
  <c r="E13" i="4"/>
  <c r="E15" i="4"/>
  <c r="O103" i="4"/>
  <c r="W103" i="4" s="1"/>
  <c r="AX170" i="4"/>
  <c r="AW170" i="4"/>
  <c r="AS171" i="4"/>
  <c r="AT171" i="4"/>
  <c r="X92" i="4" l="1"/>
  <c r="X167" i="4"/>
  <c r="V104" i="4"/>
  <c r="H104" i="4"/>
  <c r="H103" i="4"/>
  <c r="V103" i="4"/>
  <c r="AM99" i="4"/>
  <c r="AN99" i="4"/>
  <c r="AQ172" i="4"/>
  <c r="AR172" i="4"/>
  <c r="AD177" i="4"/>
  <c r="AC177" i="4"/>
  <c r="R104" i="4"/>
  <c r="S104" i="4" s="1"/>
  <c r="M105" i="4" s="1"/>
  <c r="AU96" i="4"/>
  <c r="AV96" i="4"/>
  <c r="AV171" i="4"/>
  <c r="AU171" i="4"/>
  <c r="AJ100" i="4"/>
  <c r="AI100" i="4"/>
  <c r="P104" i="4"/>
  <c r="J104" i="4" s="1"/>
  <c r="AG175" i="4"/>
  <c r="AH175" i="4"/>
  <c r="BC94" i="4"/>
  <c r="BD94" i="4"/>
  <c r="AO98" i="4"/>
  <c r="AP98" i="4"/>
  <c r="BH168" i="4"/>
  <c r="BI168" i="4" s="1"/>
  <c r="BG168" i="4"/>
  <c r="AY170" i="4"/>
  <c r="AZ170" i="4"/>
  <c r="X93" i="4"/>
  <c r="AF176" i="4"/>
  <c r="AE176" i="4"/>
  <c r="AI174" i="4"/>
  <c r="AJ174" i="4"/>
  <c r="AG101" i="4"/>
  <c r="AH101" i="4"/>
  <c r="AR97" i="4"/>
  <c r="AQ97" i="4"/>
  <c r="AM173" i="4"/>
  <c r="AN173" i="4"/>
  <c r="AA102" i="4"/>
  <c r="AB102" i="4"/>
  <c r="AY95" i="4"/>
  <c r="AZ95" i="4"/>
  <c r="Q104" i="4"/>
  <c r="I104" i="4" s="1"/>
  <c r="W104" i="4"/>
  <c r="U104" i="4"/>
  <c r="A104" i="4"/>
  <c r="E103" i="4"/>
  <c r="K103" i="4"/>
  <c r="F103" i="4"/>
  <c r="G103" i="4" s="1"/>
  <c r="C103" i="4"/>
  <c r="Y103" i="4"/>
  <c r="L103" i="4"/>
  <c r="D103" i="4"/>
  <c r="B103" i="4"/>
  <c r="BD169" i="4"/>
  <c r="BC169" i="4"/>
  <c r="X168" i="4" l="1"/>
  <c r="BE169" i="4"/>
  <c r="BF169" i="4"/>
  <c r="Z103" i="4"/>
  <c r="AT97" i="4"/>
  <c r="AS97" i="4"/>
  <c r="BB170" i="4"/>
  <c r="BA170" i="4"/>
  <c r="AR98" i="4"/>
  <c r="AQ98" i="4"/>
  <c r="AJ175" i="4"/>
  <c r="AI175" i="4"/>
  <c r="AL100" i="4"/>
  <c r="AK100" i="4"/>
  <c r="AS172" i="4"/>
  <c r="AT172" i="4"/>
  <c r="K104" i="4"/>
  <c r="D104" i="4"/>
  <c r="L104" i="4"/>
  <c r="C104" i="4"/>
  <c r="Y104" i="4"/>
  <c r="Z104" i="4" s="1"/>
  <c r="B104" i="4"/>
  <c r="F104" i="4"/>
  <c r="G104" i="4" s="1"/>
  <c r="E104" i="4"/>
  <c r="BA95" i="4"/>
  <c r="BB95" i="4"/>
  <c r="AP173" i="4"/>
  <c r="AO173" i="4"/>
  <c r="AI101" i="4"/>
  <c r="AJ101" i="4"/>
  <c r="N105" i="4"/>
  <c r="AG176" i="4"/>
  <c r="AH176" i="4"/>
  <c r="BF94" i="4"/>
  <c r="BE94" i="4"/>
  <c r="AX171" i="4"/>
  <c r="AW171" i="4"/>
  <c r="AP99" i="4"/>
  <c r="AO99" i="4"/>
  <c r="AD102" i="4"/>
  <c r="AC102" i="4"/>
  <c r="AL174" i="4"/>
  <c r="AK174" i="4"/>
  <c r="AW96" i="4"/>
  <c r="AX96" i="4"/>
  <c r="AE177" i="4"/>
  <c r="AF177" i="4"/>
  <c r="U105" i="4" l="1"/>
  <c r="M12" i="4" s="1"/>
  <c r="A105" i="4"/>
  <c r="AQ173" i="4"/>
  <c r="AR173" i="4"/>
  <c r="AK175" i="4"/>
  <c r="AL175" i="4"/>
  <c r="BD170" i="4"/>
  <c r="BC170" i="4"/>
  <c r="AM174" i="4"/>
  <c r="AN174" i="4"/>
  <c r="BH94" i="4"/>
  <c r="BI94" i="4" s="1"/>
  <c r="BG94" i="4"/>
  <c r="P105" i="4"/>
  <c r="J105" i="4" s="1"/>
  <c r="AZ96" i="4"/>
  <c r="AY96" i="4"/>
  <c r="AJ176" i="4"/>
  <c r="AI176" i="4"/>
  <c r="O105" i="4"/>
  <c r="W105" i="4" s="1"/>
  <c r="K4" i="10" s="1"/>
  <c r="AL101" i="4"/>
  <c r="AK101" i="4"/>
  <c r="BD95" i="4"/>
  <c r="BC95" i="4"/>
  <c r="AR99" i="4"/>
  <c r="AQ99" i="4"/>
  <c r="AE102" i="4"/>
  <c r="AF102" i="4"/>
  <c r="AZ171" i="4"/>
  <c r="AY171" i="4"/>
  <c r="R105" i="4"/>
  <c r="S105" i="4" s="1"/>
  <c r="AA104" i="4"/>
  <c r="AB104" i="4"/>
  <c r="AM100" i="4"/>
  <c r="AN100" i="4"/>
  <c r="AT98" i="4"/>
  <c r="AS98" i="4"/>
  <c r="AB103" i="4"/>
  <c r="AA103" i="4"/>
  <c r="AH177" i="4"/>
  <c r="AG177" i="4"/>
  <c r="Q105" i="4"/>
  <c r="I105" i="4" s="1"/>
  <c r="AV172" i="4"/>
  <c r="AU172" i="4"/>
  <c r="AU97" i="4"/>
  <c r="AV97" i="4"/>
  <c r="BG169" i="4"/>
  <c r="BH169" i="4"/>
  <c r="BI169" i="4" s="1"/>
  <c r="X94" i="4" l="1"/>
  <c r="X169" i="4"/>
  <c r="H105" i="4"/>
  <c r="V105" i="4"/>
  <c r="M13" i="4" s="1"/>
  <c r="BA96" i="4"/>
  <c r="BB96" i="4"/>
  <c r="AO174" i="4"/>
  <c r="AP174" i="4"/>
  <c r="AM175" i="4"/>
  <c r="AN175" i="4"/>
  <c r="AI177" i="4"/>
  <c r="AJ177" i="4"/>
  <c r="AG102" i="4"/>
  <c r="AH102" i="4"/>
  <c r="AX172" i="4"/>
  <c r="AW172" i="4"/>
  <c r="AO100" i="4"/>
  <c r="AP100" i="4"/>
  <c r="BE95" i="4"/>
  <c r="BF95" i="4"/>
  <c r="E105" i="4"/>
  <c r="F105" i="4"/>
  <c r="G105" i="4" s="1"/>
  <c r="B105" i="4"/>
  <c r="Y105" i="4"/>
  <c r="K105" i="4"/>
  <c r="C105" i="4"/>
  <c r="D105" i="4"/>
  <c r="L105" i="4"/>
  <c r="AW97" i="4"/>
  <c r="AX97" i="4"/>
  <c r="AC103" i="4"/>
  <c r="AD103" i="4"/>
  <c r="AL176" i="4"/>
  <c r="AK176" i="4"/>
  <c r="AS173" i="4"/>
  <c r="AT173" i="4"/>
  <c r="C12" i="4"/>
  <c r="K3" i="10"/>
  <c r="O12" i="4"/>
  <c r="G12" i="4" s="1"/>
  <c r="AV98" i="4"/>
  <c r="AU98" i="4"/>
  <c r="AC104" i="4"/>
  <c r="AD104" i="4"/>
  <c r="BB171" i="4"/>
  <c r="BA171" i="4"/>
  <c r="AT99" i="4"/>
  <c r="AS99" i="4"/>
  <c r="AM101" i="4"/>
  <c r="AN101" i="4"/>
  <c r="BF170" i="4"/>
  <c r="BE170" i="4"/>
  <c r="AF104" i="4" l="1"/>
  <c r="AE104" i="4"/>
  <c r="AU99" i="4"/>
  <c r="AV99" i="4"/>
  <c r="AO101" i="4"/>
  <c r="AP101" i="4"/>
  <c r="AM176" i="4"/>
  <c r="AN176" i="4"/>
  <c r="AI102" i="4"/>
  <c r="AJ102" i="4"/>
  <c r="AO175" i="4"/>
  <c r="AP175" i="4"/>
  <c r="BD96" i="4"/>
  <c r="BC96" i="4"/>
  <c r="BH170" i="4"/>
  <c r="BI170" i="4" s="1"/>
  <c r="BG170" i="4"/>
  <c r="BC171" i="4"/>
  <c r="BD171" i="4"/>
  <c r="AW98" i="4"/>
  <c r="AX98" i="4"/>
  <c r="AV173" i="4"/>
  <c r="AU173" i="4"/>
  <c r="AE103" i="4"/>
  <c r="AF103" i="4"/>
  <c r="Z105" i="4"/>
  <c r="BG95" i="4"/>
  <c r="BH95" i="4"/>
  <c r="BI95" i="4" s="1"/>
  <c r="AK177" i="4"/>
  <c r="AL177" i="4"/>
  <c r="AR174" i="4"/>
  <c r="AQ174" i="4"/>
  <c r="C13" i="4"/>
  <c r="Q3" i="10"/>
  <c r="C15" i="4"/>
  <c r="O13" i="4"/>
  <c r="AY97" i="4"/>
  <c r="AZ97" i="4"/>
  <c r="AQ100" i="4"/>
  <c r="AR100" i="4"/>
  <c r="AZ172" i="4"/>
  <c r="AY172" i="4"/>
  <c r="X170" i="4" l="1"/>
  <c r="X95" i="4"/>
  <c r="AS174" i="4"/>
  <c r="AT174" i="4"/>
  <c r="BB97" i="4"/>
  <c r="BA97" i="4"/>
  <c r="AM177" i="4"/>
  <c r="AN177" i="4"/>
  <c r="BE171" i="4"/>
  <c r="BF171" i="4"/>
  <c r="AL102" i="4"/>
  <c r="AK102" i="4"/>
  <c r="AQ101" i="4"/>
  <c r="AR101" i="4"/>
  <c r="BA172" i="4"/>
  <c r="BB172" i="4"/>
  <c r="AA105" i="4"/>
  <c r="AB105" i="4"/>
  <c r="AX173" i="4"/>
  <c r="AW173" i="4"/>
  <c r="BF96" i="4"/>
  <c r="BE96" i="4"/>
  <c r="AH104" i="4"/>
  <c r="AG104" i="4"/>
  <c r="AS100" i="4"/>
  <c r="AT100" i="4"/>
  <c r="G15" i="4"/>
  <c r="G13" i="4"/>
  <c r="I13" i="4"/>
  <c r="AG103" i="4"/>
  <c r="AH103" i="4"/>
  <c r="AZ98" i="4"/>
  <c r="AY98" i="4"/>
  <c r="AQ175" i="4"/>
  <c r="AR175" i="4"/>
  <c r="AP176" i="4"/>
  <c r="AO176" i="4"/>
  <c r="AX99" i="4"/>
  <c r="AW99" i="4"/>
  <c r="AJ104" i="4" l="1"/>
  <c r="AI104" i="4"/>
  <c r="AZ173" i="4"/>
  <c r="AY173" i="4"/>
  <c r="AN102" i="4"/>
  <c r="AM102" i="4"/>
  <c r="AT175" i="4"/>
  <c r="AS175" i="4"/>
  <c r="AI103" i="4"/>
  <c r="AJ103" i="4"/>
  <c r="AZ99" i="4"/>
  <c r="AY99" i="4"/>
  <c r="AU100" i="4"/>
  <c r="AV100" i="4"/>
  <c r="AD105" i="4"/>
  <c r="AC105" i="4"/>
  <c r="AS101" i="4"/>
  <c r="AT101" i="4"/>
  <c r="BG171" i="4"/>
  <c r="BH171" i="4"/>
  <c r="BI171" i="4" s="1"/>
  <c r="BG96" i="4"/>
  <c r="BH96" i="4"/>
  <c r="BI96" i="4" s="1"/>
  <c r="BD97" i="4"/>
  <c r="BC97" i="4"/>
  <c r="AR176" i="4"/>
  <c r="AQ176" i="4"/>
  <c r="BB98" i="4"/>
  <c r="BA98" i="4"/>
  <c r="BC172" i="4"/>
  <c r="BD172" i="4"/>
  <c r="AO177" i="4"/>
  <c r="AP177" i="4"/>
  <c r="AU174" i="4"/>
  <c r="AV174" i="4"/>
  <c r="X171" i="4" l="1"/>
  <c r="X96" i="4"/>
  <c r="AX174" i="4"/>
  <c r="AW174" i="4"/>
  <c r="AR177" i="4"/>
  <c r="AQ177" i="4"/>
  <c r="AO102" i="4"/>
  <c r="AP102" i="4"/>
  <c r="AL104" i="4"/>
  <c r="AK104" i="4"/>
  <c r="BD98" i="4"/>
  <c r="BC98" i="4"/>
  <c r="BE97" i="4"/>
  <c r="BF97" i="4"/>
  <c r="BF172" i="4"/>
  <c r="BE172" i="4"/>
  <c r="AF105" i="4"/>
  <c r="AE105" i="4"/>
  <c r="BB99" i="4"/>
  <c r="BA99" i="4"/>
  <c r="AV175" i="4"/>
  <c r="AU175" i="4"/>
  <c r="BA173" i="4"/>
  <c r="BB173" i="4"/>
  <c r="AS176" i="4"/>
  <c r="AT176" i="4"/>
  <c r="AV101" i="4"/>
  <c r="AU101" i="4"/>
  <c r="AW100" i="4"/>
  <c r="AX100" i="4"/>
  <c r="AK103" i="4"/>
  <c r="AL103" i="4"/>
  <c r="AG105" i="4" l="1"/>
  <c r="AH105" i="4"/>
  <c r="AM104" i="4"/>
  <c r="AN104" i="4"/>
  <c r="AS177" i="4"/>
  <c r="AT177" i="4"/>
  <c r="BD173" i="4"/>
  <c r="BC173" i="4"/>
  <c r="AQ102" i="4"/>
  <c r="AR102" i="4"/>
  <c r="AX175" i="4"/>
  <c r="AW175" i="4"/>
  <c r="AX101" i="4"/>
  <c r="AW101" i="4"/>
  <c r="BD99" i="4"/>
  <c r="BC99" i="4"/>
  <c r="BG172" i="4"/>
  <c r="BH172" i="4"/>
  <c r="BI172" i="4" s="1"/>
  <c r="BE98" i="4"/>
  <c r="BF98" i="4"/>
  <c r="AY174" i="4"/>
  <c r="AZ174" i="4"/>
  <c r="AM103" i="4"/>
  <c r="AN103" i="4"/>
  <c r="AY100" i="4"/>
  <c r="AZ100" i="4"/>
  <c r="AU176" i="4"/>
  <c r="AV176" i="4"/>
  <c r="BG97" i="4"/>
  <c r="BH97" i="4"/>
  <c r="BI97" i="4" s="1"/>
  <c r="X97" i="4" l="1"/>
  <c r="X172" i="4"/>
  <c r="BE99" i="4"/>
  <c r="BF99" i="4"/>
  <c r="AY175" i="4"/>
  <c r="AZ175" i="4"/>
  <c r="BF173" i="4"/>
  <c r="BE173" i="4"/>
  <c r="BB174" i="4"/>
  <c r="BA174" i="4"/>
  <c r="AT102" i="4"/>
  <c r="AS102" i="4"/>
  <c r="AV177" i="4"/>
  <c r="AU177" i="4"/>
  <c r="AJ105" i="4"/>
  <c r="AI105" i="4"/>
  <c r="BB100" i="4"/>
  <c r="BA100" i="4"/>
  <c r="AZ101" i="4"/>
  <c r="AY101" i="4"/>
  <c r="AW176" i="4"/>
  <c r="AX176" i="4"/>
  <c r="AO103" i="4"/>
  <c r="AP103" i="4"/>
  <c r="BH98" i="4"/>
  <c r="BI98" i="4" s="1"/>
  <c r="BG98" i="4"/>
  <c r="AO104" i="4"/>
  <c r="AP104" i="4"/>
  <c r="X98" i="4" l="1"/>
  <c r="BA101" i="4"/>
  <c r="BB101" i="4"/>
  <c r="AL105" i="4"/>
  <c r="AK105" i="4"/>
  <c r="AU102" i="4"/>
  <c r="AV102" i="4"/>
  <c r="BH173" i="4"/>
  <c r="BI173" i="4" s="1"/>
  <c r="BG173" i="4"/>
  <c r="AZ176" i="4"/>
  <c r="AY176" i="4"/>
  <c r="BA175" i="4"/>
  <c r="BB175" i="4"/>
  <c r="BC100" i="4"/>
  <c r="BD100" i="4"/>
  <c r="AX177" i="4"/>
  <c r="AW177" i="4"/>
  <c r="BD174" i="4"/>
  <c r="BC174" i="4"/>
  <c r="AR104" i="4"/>
  <c r="AQ104" i="4"/>
  <c r="AR103" i="4"/>
  <c r="AQ103" i="4"/>
  <c r="BG99" i="4"/>
  <c r="BH99" i="4"/>
  <c r="BI99" i="4" s="1"/>
  <c r="X99" i="4" l="1"/>
  <c r="X173" i="4"/>
  <c r="BE100" i="4"/>
  <c r="BF100" i="4"/>
  <c r="AX102" i="4"/>
  <c r="AW102" i="4"/>
  <c r="BD101" i="4"/>
  <c r="BC101" i="4"/>
  <c r="AT103" i="4"/>
  <c r="AS103" i="4"/>
  <c r="BE174" i="4"/>
  <c r="BF174" i="4"/>
  <c r="BA176" i="4"/>
  <c r="BB176" i="4"/>
  <c r="BD175" i="4"/>
  <c r="BC175" i="4"/>
  <c r="AT104" i="4"/>
  <c r="AS104" i="4"/>
  <c r="AZ177" i="4"/>
  <c r="AY177" i="4"/>
  <c r="AN105" i="4"/>
  <c r="AM105" i="4"/>
  <c r="BC176" i="4" l="1"/>
  <c r="BD176" i="4"/>
  <c r="AP105" i="4"/>
  <c r="AO105" i="4"/>
  <c r="AV103" i="4"/>
  <c r="AU103" i="4"/>
  <c r="AY102" i="4"/>
  <c r="AZ102" i="4"/>
  <c r="AV104" i="4"/>
  <c r="AU104" i="4"/>
  <c r="BG174" i="4"/>
  <c r="BH174" i="4"/>
  <c r="BI174" i="4" s="1"/>
  <c r="BH100" i="4"/>
  <c r="BI100" i="4" s="1"/>
  <c r="BG100" i="4"/>
  <c r="BA177" i="4"/>
  <c r="BB177" i="4"/>
  <c r="BF175" i="4"/>
  <c r="BE175" i="4"/>
  <c r="BF101" i="4"/>
  <c r="BE101" i="4"/>
  <c r="X174" i="4" l="1"/>
  <c r="BD177" i="4"/>
  <c r="BC177" i="4"/>
  <c r="AX104" i="4"/>
  <c r="AW104" i="4"/>
  <c r="AW103" i="4"/>
  <c r="AX103" i="4"/>
  <c r="BB102" i="4"/>
  <c r="BA102" i="4"/>
  <c r="BH101" i="4"/>
  <c r="BI101" i="4" s="1"/>
  <c r="BG101" i="4"/>
  <c r="AQ105" i="4"/>
  <c r="AR105" i="4"/>
  <c r="BH175" i="4"/>
  <c r="BI175" i="4" s="1"/>
  <c r="BG175" i="4"/>
  <c r="X100" i="4"/>
  <c r="BE176" i="4"/>
  <c r="BF176" i="4"/>
  <c r="X101" i="4" l="1"/>
  <c r="X175" i="4"/>
  <c r="AZ103" i="4"/>
  <c r="AY103" i="4"/>
  <c r="BF177" i="4"/>
  <c r="BE177" i="4"/>
  <c r="AT105" i="4"/>
  <c r="AS105" i="4"/>
  <c r="BG176" i="4"/>
  <c r="BH176" i="4"/>
  <c r="BI176" i="4" s="1"/>
  <c r="BC102" i="4"/>
  <c r="BD102" i="4"/>
  <c r="AZ104" i="4"/>
  <c r="AY104" i="4"/>
  <c r="BB104" i="4" l="1"/>
  <c r="BA104" i="4"/>
  <c r="AV105" i="4"/>
  <c r="AU105" i="4"/>
  <c r="BA103" i="4"/>
  <c r="BB103" i="4"/>
  <c r="BE102" i="4"/>
  <c r="BF102" i="4"/>
  <c r="X176" i="4"/>
  <c r="BG177" i="4"/>
  <c r="BH177" i="4"/>
  <c r="BI177" i="4" s="1"/>
  <c r="X177" i="4" l="1"/>
  <c r="BC103" i="4"/>
  <c r="BD103" i="4"/>
  <c r="BD104" i="4"/>
  <c r="BC104" i="4"/>
  <c r="BG102" i="4"/>
  <c r="BH102" i="4"/>
  <c r="BI102" i="4" s="1"/>
  <c r="AX105" i="4"/>
  <c r="AW105" i="4"/>
  <c r="X102" i="4" l="1"/>
  <c r="BE103" i="4"/>
  <c r="BF103" i="4"/>
  <c r="AZ105" i="4"/>
  <c r="AY105" i="4"/>
  <c r="BF104" i="4"/>
  <c r="BE104" i="4"/>
  <c r="BH103" i="4" l="1"/>
  <c r="BI103" i="4" s="1"/>
  <c r="BG103" i="4"/>
  <c r="BH104" i="4"/>
  <c r="BI104" i="4" s="1"/>
  <c r="BG104" i="4"/>
  <c r="BB105" i="4"/>
  <c r="BA105" i="4"/>
  <c r="X103" i="4" l="1"/>
  <c r="X104" i="4"/>
  <c r="BD105" i="4"/>
  <c r="BC105" i="4"/>
  <c r="BE105" i="4" l="1"/>
  <c r="BF105" i="4"/>
  <c r="BH105" i="4" l="1"/>
  <c r="BI105" i="4" s="1"/>
  <c r="BG105" i="4"/>
  <c r="X105" i="4" l="1"/>
</calcChain>
</file>

<file path=xl/sharedStrings.xml><?xml version="1.0" encoding="utf-8"?>
<sst xmlns="http://schemas.openxmlformats.org/spreadsheetml/2006/main" count="12640" uniqueCount="4869">
  <si>
    <t>ﾖｼﾀﾞ ﾏｻﾋﾛ</t>
  </si>
  <si>
    <t>ｻｶﾓﾄ ﾕｳﾀ</t>
  </si>
  <si>
    <t>ﾀｶﾊｼ ｺｳｽｹ</t>
  </si>
  <si>
    <t>鈴木　真綾</t>
  </si>
  <si>
    <t>ﾖｼﾀﾞ ﾕｶ</t>
  </si>
  <si>
    <t>福岡県</t>
  </si>
  <si>
    <t>ﾜﾀﾅﾍﾞ ﾕｲ</t>
  </si>
  <si>
    <t>大会名：</t>
    <rPh sb="0" eb="2">
      <t>タイカイ</t>
    </rPh>
    <rPh sb="2" eb="3">
      <t>メイ</t>
    </rPh>
    <phoneticPr fontId="2"/>
  </si>
  <si>
    <t>第６８回西日本学生陸上競技対校選手権大会</t>
    <phoneticPr fontId="2"/>
  </si>
  <si>
    <t>大学名</t>
    <rPh sb="0" eb="2">
      <t>ダイガク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</si>
  <si>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</si>
  <si>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責任者</t>
    <rPh sb="0" eb="3">
      <t>セキニンシャ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</si>
  <si>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</si>
  <si>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</si>
  <si>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登録番号</t>
    <rPh sb="0" eb="2">
      <t>トウロク</t>
    </rPh>
    <rPh sb="2" eb="4">
      <t>バンゴウ</t>
    </rPh>
    <phoneticPr fontId="2"/>
  </si>
  <si>
    <t>氏名</t>
    <rPh sb="0" eb="2">
      <t>シメイ</t>
    </rPh>
    <phoneticPr fontId="2"/>
  </si>
  <si>
    <t>フリガナ</t>
    <phoneticPr fontId="2"/>
  </si>
  <si>
    <t>学年</t>
    <rPh sb="0" eb="2">
      <t>ガクネン</t>
    </rPh>
    <phoneticPr fontId="2"/>
  </si>
  <si>
    <t>出場種目</t>
    <rPh sb="0" eb="2">
      <t>シュツジョウ</t>
    </rPh>
    <rPh sb="2" eb="4">
      <t>シュモク</t>
    </rPh>
    <phoneticPr fontId="2"/>
  </si>
  <si>
    <t>連絡先</t>
    <rPh sb="0" eb="3">
      <t>レンラクサキ</t>
    </rPh>
    <phoneticPr fontId="2"/>
  </si>
  <si>
    <t>緊急連絡先</t>
    <rPh sb="0" eb="2">
      <t>キンキュウ</t>
    </rPh>
    <rPh sb="2" eb="5">
      <t>レンラクサキ</t>
    </rPh>
    <phoneticPr fontId="2"/>
  </si>
  <si>
    <t>出場申込データ入力シート（選手情報）</t>
    <rPh sb="0" eb="2">
      <t>シュツジョウ</t>
    </rPh>
    <rPh sb="2" eb="3">
      <t>モウ</t>
    </rPh>
    <rPh sb="3" eb="4">
      <t>コ</t>
    </rPh>
    <rPh sb="7" eb="9">
      <t>ニュウリョク</t>
    </rPh>
    <rPh sb="13" eb="15">
      <t>センシュ</t>
    </rPh>
    <rPh sb="15" eb="17">
      <t>ジョウホウ</t>
    </rPh>
    <phoneticPr fontId="2"/>
  </si>
  <si>
    <t>フリガナ</t>
    <phoneticPr fontId="2"/>
  </si>
  <si>
    <t>登録陸協</t>
    <rPh sb="0" eb="2">
      <t>トウロク</t>
    </rPh>
    <rPh sb="2" eb="3">
      <t>リク</t>
    </rPh>
    <phoneticPr fontId="2"/>
  </si>
  <si>
    <t>資格記録</t>
    <rPh sb="0" eb="2">
      <t>シカク</t>
    </rPh>
    <rPh sb="2" eb="4">
      <t>キロク</t>
    </rPh>
    <phoneticPr fontId="2"/>
  </si>
  <si>
    <t>風</t>
    <rPh sb="0" eb="1">
      <t>カゼ</t>
    </rPh>
    <phoneticPr fontId="2"/>
  </si>
  <si>
    <t>競技会名（略称）</t>
    <rPh sb="0" eb="3">
      <t>キョウギカイ</t>
    </rPh>
    <rPh sb="3" eb="4">
      <t>メイ</t>
    </rPh>
    <rPh sb="5" eb="7">
      <t>リャクショウ</t>
    </rPh>
    <phoneticPr fontId="2"/>
  </si>
  <si>
    <t>年月日</t>
    <rPh sb="0" eb="3">
      <t>ネンガッピ</t>
    </rPh>
    <phoneticPr fontId="2"/>
  </si>
  <si>
    <t>男子種目：</t>
    <rPh sb="0" eb="2">
      <t>ダンシ</t>
    </rPh>
    <rPh sb="2" eb="4">
      <t>シュモク</t>
    </rPh>
    <phoneticPr fontId="2"/>
  </si>
  <si>
    <t>種目名</t>
    <rPh sb="0" eb="2">
      <t>シュモク</t>
    </rPh>
    <rPh sb="2" eb="3">
      <t>メイ</t>
    </rPh>
    <phoneticPr fontId="2"/>
  </si>
  <si>
    <t>上位</t>
    <rPh sb="0" eb="2">
      <t>ジョウイ</t>
    </rPh>
    <phoneticPr fontId="2"/>
  </si>
  <si>
    <t>A</t>
    <phoneticPr fontId="2"/>
  </si>
  <si>
    <t>B</t>
    <phoneticPr fontId="2"/>
  </si>
  <si>
    <t>100m</t>
    <phoneticPr fontId="2"/>
  </si>
  <si>
    <t>200m</t>
    <phoneticPr fontId="2"/>
  </si>
  <si>
    <t>400m</t>
    <phoneticPr fontId="2"/>
  </si>
  <si>
    <t>800m</t>
    <phoneticPr fontId="2"/>
  </si>
  <si>
    <t>1500m</t>
    <phoneticPr fontId="2"/>
  </si>
  <si>
    <t>5000m</t>
    <phoneticPr fontId="2"/>
  </si>
  <si>
    <t>10000m</t>
    <phoneticPr fontId="2"/>
  </si>
  <si>
    <t>110mH</t>
    <phoneticPr fontId="2"/>
  </si>
  <si>
    <t>400mH</t>
    <phoneticPr fontId="2"/>
  </si>
  <si>
    <t>3000mSC</t>
    <phoneticPr fontId="2"/>
  </si>
  <si>
    <t>10000mW</t>
    <phoneticPr fontId="2"/>
  </si>
  <si>
    <t>走高跳</t>
    <rPh sb="0" eb="1">
      <t>ハシ</t>
    </rPh>
    <rPh sb="1" eb="3">
      <t>タカト</t>
    </rPh>
    <phoneticPr fontId="2"/>
  </si>
  <si>
    <t>棒高跳</t>
    <rPh sb="0" eb="3">
      <t>ボウタカト</t>
    </rPh>
    <phoneticPr fontId="2"/>
  </si>
  <si>
    <t>走幅跳</t>
    <rPh sb="0" eb="1">
      <t>ハシ</t>
    </rPh>
    <rPh sb="1" eb="3">
      <t>ハバトビ</t>
    </rPh>
    <phoneticPr fontId="2"/>
  </si>
  <si>
    <t>三段跳</t>
    <rPh sb="0" eb="3">
      <t>サンダント</t>
    </rPh>
    <phoneticPr fontId="2"/>
  </si>
  <si>
    <t>砲丸投</t>
    <rPh sb="0" eb="3">
      <t>ホウガンナ</t>
    </rPh>
    <phoneticPr fontId="2"/>
  </si>
  <si>
    <t>円盤投</t>
    <rPh sb="0" eb="2">
      <t>エンバン</t>
    </rPh>
    <rPh sb="2" eb="3">
      <t>ナ</t>
    </rPh>
    <phoneticPr fontId="2"/>
  </si>
  <si>
    <t>ハンマー投</t>
    <rPh sb="4" eb="5">
      <t>ナ</t>
    </rPh>
    <phoneticPr fontId="2"/>
  </si>
  <si>
    <t>やり投</t>
    <rPh sb="2" eb="3">
      <t>ナ</t>
    </rPh>
    <phoneticPr fontId="2"/>
  </si>
  <si>
    <t>女子種目：</t>
    <rPh sb="0" eb="2">
      <t>ジョシ</t>
    </rPh>
    <rPh sb="2" eb="4">
      <t>シュモク</t>
    </rPh>
    <phoneticPr fontId="2"/>
  </si>
  <si>
    <t>100mH</t>
    <phoneticPr fontId="2"/>
  </si>
  <si>
    <t>10000m(5000m)</t>
    <phoneticPr fontId="2"/>
  </si>
  <si>
    <t>-</t>
    <phoneticPr fontId="2"/>
  </si>
  <si>
    <t>10000mW(10kmW)</t>
    <phoneticPr fontId="2"/>
  </si>
  <si>
    <t>10000mW(5000mW)</t>
  </si>
  <si>
    <t>単位</t>
    <rPh sb="0" eb="2">
      <t>タンイ</t>
    </rPh>
    <phoneticPr fontId="2"/>
  </si>
  <si>
    <t>秒</t>
    <rPh sb="0" eb="1">
      <t>ビョウ</t>
    </rPh>
    <phoneticPr fontId="2"/>
  </si>
  <si>
    <t>ミリ秒</t>
    <rPh sb="2" eb="3">
      <t>ビョウ</t>
    </rPh>
    <phoneticPr fontId="2"/>
  </si>
  <si>
    <t>ｍ</t>
    <phoneticPr fontId="2"/>
  </si>
  <si>
    <t>5000m(3000m)</t>
    <phoneticPr fontId="2"/>
  </si>
  <si>
    <t>10000m(3000m)</t>
    <phoneticPr fontId="2"/>
  </si>
  <si>
    <t>手動</t>
    <rPh sb="0" eb="2">
      <t>シュドウ</t>
    </rPh>
    <phoneticPr fontId="2"/>
  </si>
  <si>
    <t>大学名</t>
    <rPh sb="0" eb="3">
      <t>ダイガクメイ</t>
    </rPh>
    <phoneticPr fontId="2"/>
  </si>
  <si>
    <t>A標準</t>
    <rPh sb="1" eb="3">
      <t>ヒョウジュン</t>
    </rPh>
    <phoneticPr fontId="2"/>
  </si>
  <si>
    <t>B標準</t>
    <rPh sb="1" eb="3">
      <t>ヒョウジュン</t>
    </rPh>
    <phoneticPr fontId="2"/>
  </si>
  <si>
    <t>秒変換</t>
    <rPh sb="0" eb="1">
      <t>ビョウ</t>
    </rPh>
    <rPh sb="1" eb="3">
      <t>ヘンカン</t>
    </rPh>
    <phoneticPr fontId="2"/>
  </si>
  <si>
    <t>ミリ秒変換</t>
    <rPh sb="2" eb="3">
      <t>ビョウ</t>
    </rPh>
    <rPh sb="3" eb="5">
      <t>ヘンカン</t>
    </rPh>
    <phoneticPr fontId="2"/>
  </si>
  <si>
    <t>ｍ変換</t>
    <rPh sb="1" eb="3">
      <t>ヘンカン</t>
    </rPh>
    <phoneticPr fontId="2"/>
  </si>
  <si>
    <t>ミリ秒桁数</t>
    <rPh sb="2" eb="3">
      <t>ビョウ</t>
    </rPh>
    <rPh sb="3" eb="5">
      <t>ケタスウ</t>
    </rPh>
    <phoneticPr fontId="2"/>
  </si>
  <si>
    <t>手動</t>
    <rPh sb="0" eb="1">
      <t>テ</t>
    </rPh>
    <rPh sb="1" eb="2">
      <t>ドウ</t>
    </rPh>
    <phoneticPr fontId="2"/>
  </si>
  <si>
    <t>A判定</t>
    <rPh sb="1" eb="3">
      <t>ハンテイ</t>
    </rPh>
    <phoneticPr fontId="2"/>
  </si>
  <si>
    <t>B判定</t>
    <rPh sb="1" eb="3">
      <t>ハンテイ</t>
    </rPh>
    <phoneticPr fontId="2"/>
  </si>
  <si>
    <t>入力検知</t>
    <rPh sb="0" eb="2">
      <t>ニュウリョク</t>
    </rPh>
    <rPh sb="2" eb="4">
      <t>ケンチ</t>
    </rPh>
    <phoneticPr fontId="2"/>
  </si>
  <si>
    <t>ゼッケン必須</t>
    <rPh sb="4" eb="6">
      <t>ヒッス</t>
    </rPh>
    <phoneticPr fontId="2"/>
  </si>
  <si>
    <t>種目必須</t>
    <rPh sb="0" eb="2">
      <t>シュモク</t>
    </rPh>
    <rPh sb="2" eb="4">
      <t>ヒッス</t>
    </rPh>
    <phoneticPr fontId="2"/>
  </si>
  <si>
    <t>記録必須</t>
    <rPh sb="0" eb="2">
      <t>キロク</t>
    </rPh>
    <rPh sb="2" eb="4">
      <t>ヒッス</t>
    </rPh>
    <phoneticPr fontId="2"/>
  </si>
  <si>
    <t>風必須</t>
    <rPh sb="0" eb="1">
      <t>カゼ</t>
    </rPh>
    <rPh sb="1" eb="3">
      <t>ヒッス</t>
    </rPh>
    <phoneticPr fontId="2"/>
  </si>
  <si>
    <t>競技会名必須</t>
    <rPh sb="0" eb="3">
      <t>キョウギカイ</t>
    </rPh>
    <rPh sb="3" eb="4">
      <t>メイ</t>
    </rPh>
    <rPh sb="4" eb="6">
      <t>ヒッス</t>
    </rPh>
    <phoneticPr fontId="2"/>
  </si>
  <si>
    <t>日付必須</t>
    <rPh sb="0" eb="2">
      <t>ヒヅケ</t>
    </rPh>
    <rPh sb="2" eb="4">
      <t>ヒッス</t>
    </rPh>
    <phoneticPr fontId="2"/>
  </si>
  <si>
    <t>登録番号が入力されていません。</t>
    <rPh sb="0" eb="2">
      <t>トウロク</t>
    </rPh>
    <rPh sb="2" eb="4">
      <t>バンゴウ</t>
    </rPh>
    <rPh sb="5" eb="7">
      <t>ニュウリョク</t>
    </rPh>
    <phoneticPr fontId="2"/>
  </si>
  <si>
    <t>種目が入力されていません。</t>
    <rPh sb="0" eb="2">
      <t>シュモク</t>
    </rPh>
    <rPh sb="3" eb="5">
      <t>ニュウリョク</t>
    </rPh>
    <phoneticPr fontId="2"/>
  </si>
  <si>
    <t>資格記録が入力されていません。</t>
    <rPh sb="0" eb="2">
      <t>シカク</t>
    </rPh>
    <rPh sb="2" eb="4">
      <t>キロク</t>
    </rPh>
    <rPh sb="5" eb="7">
      <t>ニュウリョク</t>
    </rPh>
    <phoneticPr fontId="2"/>
  </si>
  <si>
    <t>風が入力されていません。</t>
    <rPh sb="0" eb="1">
      <t>カゼ</t>
    </rPh>
    <rPh sb="2" eb="4">
      <t>ニュウリョク</t>
    </rPh>
    <phoneticPr fontId="2"/>
  </si>
  <si>
    <t>競技会名が入力されていません。</t>
    <rPh sb="0" eb="3">
      <t>キョウギカイ</t>
    </rPh>
    <rPh sb="3" eb="4">
      <t>メイ</t>
    </rPh>
    <rPh sb="5" eb="7">
      <t>ニュウリョク</t>
    </rPh>
    <phoneticPr fontId="2"/>
  </si>
  <si>
    <t>日付が入力されていません。</t>
    <rPh sb="0" eb="2">
      <t>ヒヅケ</t>
    </rPh>
    <rPh sb="3" eb="5">
      <t>ニュウリョク</t>
    </rPh>
    <phoneticPr fontId="2"/>
  </si>
  <si>
    <t>競技会の日付が正しい形式ではありません。</t>
    <rPh sb="0" eb="3">
      <t>キョウギカイ</t>
    </rPh>
    <rPh sb="4" eb="6">
      <t>ヒヅケ</t>
    </rPh>
    <rPh sb="7" eb="8">
      <t>タダ</t>
    </rPh>
    <rPh sb="10" eb="12">
      <t>ケイシキ</t>
    </rPh>
    <phoneticPr fontId="2"/>
  </si>
  <si>
    <t>記録日開始：</t>
    <rPh sb="0" eb="2">
      <t>キロク</t>
    </rPh>
    <rPh sb="2" eb="3">
      <t>ニチ</t>
    </rPh>
    <rPh sb="3" eb="5">
      <t>カイシ</t>
    </rPh>
    <phoneticPr fontId="2"/>
  </si>
  <si>
    <t>記録日終了：</t>
    <rPh sb="0" eb="2">
      <t>キロク</t>
    </rPh>
    <rPh sb="2" eb="3">
      <t>ニチ</t>
    </rPh>
    <rPh sb="3" eb="5">
      <t>シュウリョウ</t>
    </rPh>
    <phoneticPr fontId="2"/>
  </si>
  <si>
    <t>日付でない</t>
    <rPh sb="0" eb="2">
      <t>ヒヅケ</t>
    </rPh>
    <phoneticPr fontId="2"/>
  </si>
  <si>
    <t>〇</t>
    <phoneticPr fontId="2"/>
  </si>
  <si>
    <t>60秒表記はできません。</t>
    <rPh sb="2" eb="3">
      <t>ビョウ</t>
    </rPh>
    <rPh sb="3" eb="5">
      <t>ヒョウキ</t>
    </rPh>
    <phoneticPr fontId="2"/>
  </si>
  <si>
    <t>60秒表記</t>
    <rPh sb="2" eb="3">
      <t>ビョウ</t>
    </rPh>
    <rPh sb="3" eb="5">
      <t>ヒョウキ</t>
    </rPh>
    <phoneticPr fontId="2"/>
  </si>
  <si>
    <t>記録が文字列</t>
    <rPh sb="0" eb="2">
      <t>キロク</t>
    </rPh>
    <rPh sb="3" eb="6">
      <t>モジレツ</t>
    </rPh>
    <phoneticPr fontId="2"/>
  </si>
  <si>
    <t>資格記録は数字で入力してください</t>
    <rPh sb="5" eb="7">
      <t>スウジ</t>
    </rPh>
    <rPh sb="8" eb="10">
      <t>ニュウリョク</t>
    </rPh>
    <phoneticPr fontId="2"/>
  </si>
  <si>
    <t>学連　太郎</t>
    <rPh sb="0" eb="2">
      <t>ガクレン</t>
    </rPh>
    <rPh sb="3" eb="5">
      <t>タロウ</t>
    </rPh>
    <phoneticPr fontId="2"/>
  </si>
  <si>
    <t>+</t>
    <phoneticPr fontId="2"/>
  </si>
  <si>
    <t>東海インカレ</t>
    <rPh sb="0" eb="2">
      <t>トウカイ</t>
    </rPh>
    <phoneticPr fontId="2"/>
  </si>
  <si>
    <t>10秒85</t>
    <rPh sb="2" eb="3">
      <t>ビョウ</t>
    </rPh>
    <phoneticPr fontId="2"/>
  </si>
  <si>
    <t>完了</t>
    <rPh sb="0" eb="2">
      <t>カンリョウ</t>
    </rPh>
    <phoneticPr fontId="2"/>
  </si>
  <si>
    <t>日付範囲外</t>
    <rPh sb="0" eb="2">
      <t>ヒヅケ</t>
    </rPh>
    <rPh sb="2" eb="4">
      <t>ハンイ</t>
    </rPh>
    <rPh sb="4" eb="5">
      <t>ガイ</t>
    </rPh>
    <phoneticPr fontId="2"/>
  </si>
  <si>
    <t>未資格記録</t>
    <rPh sb="0" eb="1">
      <t>ミ</t>
    </rPh>
    <rPh sb="1" eb="3">
      <t>シカク</t>
    </rPh>
    <rPh sb="3" eb="5">
      <t>キロク</t>
    </rPh>
    <phoneticPr fontId="2"/>
  </si>
  <si>
    <t>参加資格を満たしていない記録があります。</t>
    <rPh sb="0" eb="2">
      <t>サンカ</t>
    </rPh>
    <rPh sb="2" eb="4">
      <t>シカク</t>
    </rPh>
    <rPh sb="5" eb="6">
      <t>ミ</t>
    </rPh>
    <rPh sb="12" eb="14">
      <t>キロク</t>
    </rPh>
    <phoneticPr fontId="2"/>
  </si>
  <si>
    <t>不正ゼッケン</t>
    <rPh sb="0" eb="2">
      <t>フセイ</t>
    </rPh>
    <phoneticPr fontId="2"/>
  </si>
  <si>
    <t>＋</t>
    <phoneticPr fontId="2"/>
  </si>
  <si>
    <t>－</t>
    <phoneticPr fontId="2"/>
  </si>
  <si>
    <t>参考記録</t>
    <rPh sb="0" eb="2">
      <t>サンコウ</t>
    </rPh>
    <rPh sb="2" eb="4">
      <t>キロク</t>
    </rPh>
    <phoneticPr fontId="2"/>
  </si>
  <si>
    <t>参考記録は入力できません。</t>
    <rPh sb="0" eb="2">
      <t>サンコウ</t>
    </rPh>
    <rPh sb="2" eb="4">
      <t>キロク</t>
    </rPh>
    <rPh sb="5" eb="7">
      <t>ニュウリョク</t>
    </rPh>
    <phoneticPr fontId="2"/>
  </si>
  <si>
    <t>ガクレン　タロウ</t>
    <phoneticPr fontId="2"/>
  </si>
  <si>
    <t>愛知</t>
    <phoneticPr fontId="2"/>
  </si>
  <si>
    <t>B</t>
    <phoneticPr fontId="2"/>
  </si>
  <si>
    <t>〇</t>
    <phoneticPr fontId="2"/>
  </si>
  <si>
    <t>様式　Ⅱ</t>
    <rPh sb="0" eb="2">
      <t>ヨウシキ</t>
    </rPh>
    <phoneticPr fontId="2"/>
  </si>
  <si>
    <t>--------------------------------------切り取り線--------------------------------------</t>
    <rPh sb="39" eb="44">
      <t>キリトリセン</t>
    </rPh>
    <phoneticPr fontId="2"/>
  </si>
  <si>
    <r>
      <rPr>
        <sz val="11"/>
        <color indexed="8"/>
        <rFont val="ＭＳ 明朝"/>
        <family val="1"/>
        <charset val="128"/>
      </rPr>
      <t>リレー　種目</t>
    </r>
    <rPh sb="4" eb="6">
      <t>シュモク</t>
    </rPh>
    <phoneticPr fontId="2"/>
  </si>
  <si>
    <r>
      <rPr>
        <sz val="11"/>
        <color indexed="8"/>
        <rFont val="ＭＳ 明朝"/>
        <family val="1"/>
        <charset val="128"/>
      </rPr>
      <t>フリガナ</t>
    </r>
    <phoneticPr fontId="2"/>
  </si>
  <si>
    <r>
      <rPr>
        <sz val="11"/>
        <color indexed="8"/>
        <rFont val="ＭＳ 明朝"/>
        <family val="1"/>
        <charset val="128"/>
      </rPr>
      <t>氏　　　名</t>
    </r>
    <rPh sb="0" eb="1">
      <t>シ</t>
    </rPh>
    <rPh sb="4" eb="5">
      <t>メイ</t>
    </rPh>
    <phoneticPr fontId="2"/>
  </si>
  <si>
    <r>
      <rPr>
        <sz val="11"/>
        <color indexed="8"/>
        <rFont val="ＭＳ 明朝"/>
        <family val="1"/>
        <charset val="128"/>
      </rPr>
      <t>風）</t>
    </r>
    <rPh sb="0" eb="1">
      <t>カゼ</t>
    </rPh>
    <phoneticPr fontId="2"/>
  </si>
  <si>
    <t>大学名</t>
    <phoneticPr fontId="2"/>
  </si>
  <si>
    <t>学年</t>
    <phoneticPr fontId="2"/>
  </si>
  <si>
    <t>期日</t>
    <phoneticPr fontId="2"/>
  </si>
  <si>
    <r>
      <rPr>
        <sz val="11"/>
        <color indexed="8"/>
        <rFont val="ＭＳ 明朝"/>
        <family val="1"/>
        <charset val="128"/>
      </rPr>
      <t>登録
陸協</t>
    </r>
    <rPh sb="0" eb="2">
      <t>トウロク</t>
    </rPh>
    <rPh sb="3" eb="4">
      <t>リク</t>
    </rPh>
    <rPh sb="4" eb="5">
      <t>キョウ</t>
    </rPh>
    <phoneticPr fontId="2"/>
  </si>
  <si>
    <r>
      <rPr>
        <sz val="11"/>
        <color indexed="8"/>
        <rFont val="ＭＳ 明朝"/>
        <family val="1"/>
        <charset val="128"/>
      </rPr>
      <t>競技
種目</t>
    </r>
    <rPh sb="0" eb="2">
      <t>キョウギ</t>
    </rPh>
    <rPh sb="3" eb="5">
      <t>シュモク</t>
    </rPh>
    <phoneticPr fontId="2"/>
  </si>
  <si>
    <r>
      <rPr>
        <sz val="11"/>
        <color indexed="8"/>
        <rFont val="ＭＳ 明朝"/>
        <family val="1"/>
        <charset val="128"/>
      </rPr>
      <t>登録
番号</t>
    </r>
    <rPh sb="0" eb="2">
      <t>トウロク</t>
    </rPh>
    <rPh sb="3" eb="5">
      <t>バンゴウ</t>
    </rPh>
    <phoneticPr fontId="2"/>
  </si>
  <si>
    <r>
      <rPr>
        <sz val="11"/>
        <color indexed="8"/>
        <rFont val="ＭＳ 明朝"/>
        <family val="1"/>
        <charset val="128"/>
      </rPr>
      <t>参考
記録</t>
    </r>
    <rPh sb="0" eb="2">
      <t>サンコウ</t>
    </rPh>
    <rPh sb="3" eb="5">
      <t>キロク</t>
    </rPh>
    <phoneticPr fontId="2"/>
  </si>
  <si>
    <r>
      <rPr>
        <sz val="11"/>
        <color indexed="8"/>
        <rFont val="ＭＳ 明朝"/>
        <family val="1"/>
        <charset val="128"/>
      </rPr>
      <t>競技会</t>
    </r>
    <rPh sb="0" eb="3">
      <t>キョウギカイ</t>
    </rPh>
    <phoneticPr fontId="2"/>
  </si>
  <si>
    <t xml:space="preserve">|
|
|
|
|
|
|
|
|
|
|
|
|
|
|
|
|
|
|
|
|
|
|
|
|
|
|
|
|
|
|
|
|
|
|
|
|
|
|
|
|
|
|
|
|
|
|
|
|
|
|
|
|
|
|
|
|
|
|
|
|
|
|
|
|
|
|
|
|
|
|
</t>
    <phoneticPr fontId="2"/>
  </si>
  <si>
    <t>名</t>
  </si>
  <si>
    <t>チーム</t>
  </si>
  <si>
    <t>参加申込人数</t>
    <rPh sb="0" eb="2">
      <t>サンカ</t>
    </rPh>
    <rPh sb="2" eb="4">
      <t>モウシコミ</t>
    </rPh>
    <rPh sb="4" eb="5">
      <t>ヒト</t>
    </rPh>
    <rPh sb="5" eb="6">
      <t>カズ</t>
    </rPh>
    <phoneticPr fontId="2"/>
  </si>
  <si>
    <t>個人種目</t>
    <rPh sb="0" eb="2">
      <t>コジン</t>
    </rPh>
    <rPh sb="2" eb="4">
      <t>シュモク</t>
    </rPh>
    <phoneticPr fontId="2"/>
  </si>
  <si>
    <t>参加申込種目</t>
    <rPh sb="0" eb="2">
      <t>サンカ</t>
    </rPh>
    <rPh sb="2" eb="4">
      <t>モウシコミ</t>
    </rPh>
    <rPh sb="4" eb="6">
      <t>シュモク</t>
    </rPh>
    <phoneticPr fontId="2"/>
  </si>
  <si>
    <t>（実質人数）</t>
    <rPh sb="1" eb="3">
      <t>ジッシツ</t>
    </rPh>
    <rPh sb="3" eb="5">
      <t>ニンズウ</t>
    </rPh>
    <phoneticPr fontId="2"/>
  </si>
  <si>
    <t>リレーのみ</t>
    <phoneticPr fontId="2"/>
  </si>
  <si>
    <t>（延べ人数）</t>
    <rPh sb="1" eb="2">
      <t>ノ</t>
    </rPh>
    <rPh sb="3" eb="5">
      <t>ニンズウ</t>
    </rPh>
    <phoneticPr fontId="2"/>
  </si>
  <si>
    <t>リレー種目</t>
    <rPh sb="3" eb="5">
      <t>シュモク</t>
    </rPh>
    <phoneticPr fontId="2"/>
  </si>
  <si>
    <t>種目</t>
    <rPh sb="0" eb="2">
      <t>シュモク</t>
    </rPh>
    <phoneticPr fontId="2"/>
  </si>
  <si>
    <t>期日</t>
    <rPh sb="0" eb="2">
      <t>キジツ</t>
    </rPh>
    <phoneticPr fontId="2"/>
  </si>
  <si>
    <t>性別：</t>
    <rPh sb="0" eb="2">
      <t>セイベツ</t>
    </rPh>
    <phoneticPr fontId="2"/>
  </si>
  <si>
    <t>男子</t>
    <rPh sb="0" eb="2">
      <t>ダンシ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</si>
  <si>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</si>
  <si>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</si>
  <si>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男</t>
    <phoneticPr fontId="2"/>
  </si>
  <si>
    <t>女</t>
    <rPh sb="0" eb="1">
      <t>オンナ</t>
    </rPh>
    <phoneticPr fontId="2"/>
  </si>
  <si>
    <t>その他の
競技種目</t>
    <phoneticPr fontId="2"/>
  </si>
  <si>
    <t>資格記録</t>
    <phoneticPr fontId="2"/>
  </si>
  <si>
    <t>資格記録</t>
    <phoneticPr fontId="2"/>
  </si>
  <si>
    <t>4×100mR</t>
    <phoneticPr fontId="2"/>
  </si>
  <si>
    <t>4×400mR</t>
    <phoneticPr fontId="2"/>
  </si>
  <si>
    <t>オフセット数</t>
    <rPh sb="5" eb="6">
      <t>スウ</t>
    </rPh>
    <phoneticPr fontId="2"/>
  </si>
  <si>
    <t>リレー</t>
    <phoneticPr fontId="2"/>
  </si>
  <si>
    <t>登録番号・性別が不正です。</t>
    <rPh sb="0" eb="2">
      <t>トウロク</t>
    </rPh>
    <rPh sb="2" eb="4">
      <t>バンゴウ</t>
    </rPh>
    <rPh sb="5" eb="7">
      <t>セイベツ</t>
    </rPh>
    <rPh sb="8" eb="10">
      <t>フセイ</t>
    </rPh>
    <phoneticPr fontId="2"/>
  </si>
  <si>
    <t>標準組合わせ</t>
    <rPh sb="0" eb="2">
      <t>ヒョウジュン</t>
    </rPh>
    <rPh sb="2" eb="3">
      <t>ク</t>
    </rPh>
    <rPh sb="3" eb="4">
      <t>ア</t>
    </rPh>
    <phoneticPr fontId="2"/>
  </si>
  <si>
    <t>A</t>
    <phoneticPr fontId="2"/>
  </si>
  <si>
    <t>AA</t>
    <phoneticPr fontId="2"/>
  </si>
  <si>
    <t>AAA</t>
    <phoneticPr fontId="2"/>
  </si>
  <si>
    <t>B</t>
    <phoneticPr fontId="2"/>
  </si>
  <si>
    <t>BA</t>
    <phoneticPr fontId="2"/>
  </si>
  <si>
    <t>BAA</t>
    <phoneticPr fontId="2"/>
  </si>
  <si>
    <t>種目重複</t>
    <rPh sb="0" eb="2">
      <t>シュモク</t>
    </rPh>
    <rPh sb="2" eb="4">
      <t>チョウフク</t>
    </rPh>
    <phoneticPr fontId="2"/>
  </si>
  <si>
    <t>種目が重複しています。</t>
    <rPh sb="0" eb="2">
      <t>シュモク</t>
    </rPh>
    <rPh sb="3" eb="5">
      <t>チョウフク</t>
    </rPh>
    <phoneticPr fontId="2"/>
  </si>
  <si>
    <t>生年月日</t>
    <rPh sb="0" eb="2">
      <t>セイネン</t>
    </rPh>
    <rPh sb="2" eb="4">
      <t>ガッピ</t>
    </rPh>
    <phoneticPr fontId="2"/>
  </si>
  <si>
    <t>出場制限</t>
    <rPh sb="0" eb="2">
      <t>シュツジョウ</t>
    </rPh>
    <rPh sb="2" eb="4">
      <t>セイゲン</t>
    </rPh>
    <phoneticPr fontId="2"/>
  </si>
  <si>
    <t>出場制限の組み合わせに違反しています。</t>
    <rPh sb="0" eb="2">
      <t>シュツジョウ</t>
    </rPh>
    <rPh sb="2" eb="4">
      <t>セイゲン</t>
    </rPh>
    <rPh sb="5" eb="6">
      <t>ク</t>
    </rPh>
    <rPh sb="7" eb="8">
      <t>ア</t>
    </rPh>
    <rPh sb="11" eb="13">
      <t>イハン</t>
    </rPh>
    <phoneticPr fontId="2"/>
  </si>
  <si>
    <t>判定結果</t>
    <rPh sb="0" eb="2">
      <t>ハンテイ</t>
    </rPh>
    <rPh sb="2" eb="4">
      <t>ケッカ</t>
    </rPh>
    <phoneticPr fontId="2"/>
  </si>
  <si>
    <t>何人目か</t>
    <rPh sb="0" eb="2">
      <t>ナンニン</t>
    </rPh>
    <rPh sb="2" eb="3">
      <t>メ</t>
    </rPh>
    <phoneticPr fontId="2"/>
  </si>
  <si>
    <t>誰か</t>
    <rPh sb="0" eb="1">
      <t>ダレ</t>
    </rPh>
    <phoneticPr fontId="2"/>
  </si>
  <si>
    <t>記録</t>
    <rPh sb="0" eb="2">
      <t>キロク</t>
    </rPh>
    <phoneticPr fontId="2"/>
  </si>
  <si>
    <t>次のオフセット数</t>
    <rPh sb="0" eb="1">
      <t>ツギ</t>
    </rPh>
    <rPh sb="7" eb="8">
      <t>スウ</t>
    </rPh>
    <phoneticPr fontId="2"/>
  </si>
  <si>
    <t>残り数</t>
    <rPh sb="0" eb="1">
      <t>ノコ</t>
    </rPh>
    <rPh sb="2" eb="3">
      <t>スウ</t>
    </rPh>
    <phoneticPr fontId="2"/>
  </si>
  <si>
    <t>要
同意書</t>
    <rPh sb="0" eb="1">
      <t>ヨウ</t>
    </rPh>
    <rPh sb="2" eb="5">
      <t>ドウイショ</t>
    </rPh>
    <phoneticPr fontId="2"/>
  </si>
  <si>
    <t>4×100mR</t>
    <phoneticPr fontId="2"/>
  </si>
  <si>
    <t>4×400mR</t>
    <phoneticPr fontId="2"/>
  </si>
  <si>
    <t>男初出チェック</t>
    <rPh sb="0" eb="1">
      <t>オトコ</t>
    </rPh>
    <rPh sb="1" eb="2">
      <t>ハツ</t>
    </rPh>
    <rPh sb="2" eb="3">
      <t>シュツ</t>
    </rPh>
    <phoneticPr fontId="2"/>
  </si>
  <si>
    <t>男初出</t>
    <rPh sb="0" eb="1">
      <t>オトコ</t>
    </rPh>
    <rPh sb="1" eb="2">
      <t>ハツ</t>
    </rPh>
    <rPh sb="2" eb="3">
      <t>シュツ</t>
    </rPh>
    <phoneticPr fontId="2"/>
  </si>
  <si>
    <t>女初出チェック</t>
    <rPh sb="1" eb="2">
      <t>ハツ</t>
    </rPh>
    <rPh sb="2" eb="3">
      <t>シュツ</t>
    </rPh>
    <phoneticPr fontId="2"/>
  </si>
  <si>
    <t>女初出</t>
    <rPh sb="1" eb="2">
      <t>ハツ</t>
    </rPh>
    <rPh sb="2" eb="3">
      <t>シュツ</t>
    </rPh>
    <phoneticPr fontId="2"/>
  </si>
  <si>
    <t>大会初日：</t>
    <rPh sb="0" eb="2">
      <t>タイカイ</t>
    </rPh>
    <rPh sb="2" eb="4">
      <t>ショニチ</t>
    </rPh>
    <phoneticPr fontId="2"/>
  </si>
  <si>
    <t>↓ページ数を入力</t>
    <rPh sb="4" eb="5">
      <t>スウ</t>
    </rPh>
    <rPh sb="6" eb="8">
      <t>ニュウリョク</t>
    </rPh>
    <phoneticPr fontId="2"/>
  </si>
  <si>
    <t>（様式Ⅰ-１）</t>
    <rPh sb="1" eb="3">
      <t>ヨウシキ</t>
    </rPh>
    <phoneticPr fontId="2"/>
  </si>
  <si>
    <t>大学名（略称）</t>
    <rPh sb="0" eb="3">
      <t>ダイガクメイ</t>
    </rPh>
    <rPh sb="4" eb="6">
      <t>リャクショウ</t>
    </rPh>
    <phoneticPr fontId="2"/>
  </si>
  <si>
    <t>内訳</t>
    <rPh sb="0" eb="2">
      <t>ウチワケ</t>
    </rPh>
    <phoneticPr fontId="2"/>
  </si>
  <si>
    <t>参加人数（実質人数）</t>
    <rPh sb="0" eb="2">
      <t>サンカ</t>
    </rPh>
    <rPh sb="2" eb="4">
      <t>ニンズウ</t>
    </rPh>
    <rPh sb="5" eb="7">
      <t>ジッシツ</t>
    </rPh>
    <rPh sb="7" eb="9">
      <t>ニンズウ</t>
    </rPh>
    <phoneticPr fontId="2"/>
  </si>
  <si>
    <t>個人種目数（延べ人数）</t>
    <rPh sb="0" eb="2">
      <t>コジン</t>
    </rPh>
    <rPh sb="2" eb="4">
      <t>シュモク</t>
    </rPh>
    <rPh sb="4" eb="5">
      <t>スウ</t>
    </rPh>
    <rPh sb="6" eb="7">
      <t>ノ</t>
    </rPh>
    <rPh sb="8" eb="10">
      <t>ニンズウ</t>
    </rPh>
    <phoneticPr fontId="2"/>
  </si>
  <si>
    <t>リレーチーム数</t>
    <rPh sb="6" eb="7">
      <t>スウ</t>
    </rPh>
    <phoneticPr fontId="2"/>
  </si>
  <si>
    <t>合計</t>
    <rPh sb="0" eb="2">
      <t>ゴウケイ</t>
    </rPh>
    <phoneticPr fontId="2"/>
  </si>
  <si>
    <t>女子</t>
    <rPh sb="0" eb="2">
      <t>ジョシ</t>
    </rPh>
    <phoneticPr fontId="2"/>
  </si>
  <si>
    <t>合計金額</t>
    <rPh sb="0" eb="2">
      <t>ゴウケイ</t>
    </rPh>
    <rPh sb="2" eb="4">
      <t>キンガク</t>
    </rPh>
    <phoneticPr fontId="2"/>
  </si>
  <si>
    <t>個人参加料：</t>
    <rPh sb="0" eb="2">
      <t>コジン</t>
    </rPh>
    <rPh sb="2" eb="5">
      <t>サンカリョウ</t>
    </rPh>
    <phoneticPr fontId="2"/>
  </si>
  <si>
    <t>リレー参加料：</t>
    <rPh sb="3" eb="6">
      <t>サンカリョウ</t>
    </rPh>
    <phoneticPr fontId="2"/>
  </si>
  <si>
    <t>明細コピー貼付け</t>
    <rPh sb="0" eb="2">
      <t>メイサイ</t>
    </rPh>
    <rPh sb="5" eb="7">
      <t>ハリツ</t>
    </rPh>
    <phoneticPr fontId="2"/>
  </si>
  <si>
    <t>例）9999</t>
    <rPh sb="0" eb="1">
      <t>レイ</t>
    </rPh>
    <phoneticPr fontId="2"/>
  </si>
  <si>
    <t>出場申込データ入力シート（学校情報）</t>
    <rPh sb="0" eb="2">
      <t>シュツジョウ</t>
    </rPh>
    <rPh sb="2" eb="3">
      <t>モウ</t>
    </rPh>
    <rPh sb="3" eb="4">
      <t>コ</t>
    </rPh>
    <rPh sb="7" eb="9">
      <t>ニュウリョク</t>
    </rPh>
    <rPh sb="13" eb="15">
      <t>ガッコウ</t>
    </rPh>
    <rPh sb="15" eb="17">
      <t>ジョウホウ</t>
    </rPh>
    <phoneticPr fontId="2"/>
  </si>
  <si>
    <t>大学名</t>
  </si>
  <si>
    <t>大学名（略称）</t>
  </si>
  <si>
    <t>監督名</t>
  </si>
  <si>
    <t>責任者</t>
  </si>
  <si>
    <t>連絡先</t>
  </si>
  <si>
    <t>緊急連絡先</t>
  </si>
  <si>
    <t>郵便番号</t>
  </si>
  <si>
    <t>住所</t>
  </si>
  <si>
    <t>大学名を入力してください。</t>
    <rPh sb="0" eb="3">
      <t>ダイガクメイ</t>
    </rPh>
    <rPh sb="4" eb="6">
      <t>ニュウリョク</t>
    </rPh>
    <phoneticPr fontId="2"/>
  </si>
  <si>
    <t>大学名（略称）を入力してください。</t>
    <rPh sb="0" eb="3">
      <t>ダイガクメイ</t>
    </rPh>
    <rPh sb="4" eb="6">
      <t>リャクショウ</t>
    </rPh>
    <rPh sb="8" eb="10">
      <t>ニュウリョク</t>
    </rPh>
    <phoneticPr fontId="2"/>
  </si>
  <si>
    <t>大学名（略称）は、6文字以内で入力してください。</t>
    <rPh sb="0" eb="3">
      <t>ダイガクメイ</t>
    </rPh>
    <rPh sb="4" eb="6">
      <t>リャクショウ</t>
    </rPh>
    <rPh sb="10" eb="12">
      <t>モジ</t>
    </rPh>
    <rPh sb="12" eb="14">
      <t>イナイ</t>
    </rPh>
    <rPh sb="15" eb="17">
      <t>ニュウリョク</t>
    </rPh>
    <phoneticPr fontId="2"/>
  </si>
  <si>
    <t>責任者氏名を入力してください。</t>
    <rPh sb="0" eb="3">
      <t>セキニンシャ</t>
    </rPh>
    <rPh sb="3" eb="5">
      <t>シメイ</t>
    </rPh>
    <rPh sb="6" eb="8">
      <t>ニュウリョク</t>
    </rPh>
    <phoneticPr fontId="2"/>
  </si>
  <si>
    <t>連絡先電話番号を入力してください。</t>
    <rPh sb="0" eb="3">
      <t>レンラクサキ</t>
    </rPh>
    <rPh sb="3" eb="5">
      <t>デンワ</t>
    </rPh>
    <rPh sb="5" eb="7">
      <t>バンゴウ</t>
    </rPh>
    <rPh sb="8" eb="10">
      <t>ニュウリョク</t>
    </rPh>
    <phoneticPr fontId="2"/>
  </si>
  <si>
    <t>連絡先電話番号を11桁 or 10桁で入力してください。</t>
    <rPh sb="0" eb="3">
      <t>レンラクサキ</t>
    </rPh>
    <rPh sb="3" eb="5">
      <t>デンワ</t>
    </rPh>
    <rPh sb="5" eb="7">
      <t>バンゴウ</t>
    </rPh>
    <rPh sb="10" eb="11">
      <t>ケタ</t>
    </rPh>
    <rPh sb="17" eb="18">
      <t>ケタ</t>
    </rPh>
    <rPh sb="19" eb="21">
      <t>ニュウリョク</t>
    </rPh>
    <phoneticPr fontId="2"/>
  </si>
  <si>
    <t>監督氏名を入力してください。</t>
    <rPh sb="0" eb="2">
      <t>カントク</t>
    </rPh>
    <rPh sb="2" eb="4">
      <t>シメイ</t>
    </rPh>
    <rPh sb="5" eb="7">
      <t>ニュウリョク</t>
    </rPh>
    <phoneticPr fontId="2"/>
  </si>
  <si>
    <t>緊急連絡先電話番号を入力してください。</t>
    <rPh sb="5" eb="7">
      <t>デンワ</t>
    </rPh>
    <rPh sb="7" eb="9">
      <t>バンゴウ</t>
    </rPh>
    <rPh sb="10" eb="12">
      <t>ニュウリョク</t>
    </rPh>
    <phoneticPr fontId="2"/>
  </si>
  <si>
    <t>緊急連絡先電話番号を11桁 or 10桁で入力してください。</t>
    <rPh sb="5" eb="7">
      <t>デンワ</t>
    </rPh>
    <rPh sb="7" eb="9">
      <t>バンゴウ</t>
    </rPh>
    <rPh sb="12" eb="13">
      <t>ケタ</t>
    </rPh>
    <rPh sb="19" eb="20">
      <t>ケタ</t>
    </rPh>
    <rPh sb="21" eb="23">
      <t>ニュウリョク</t>
    </rPh>
    <phoneticPr fontId="2"/>
  </si>
  <si>
    <t>住所を入力してください。</t>
    <rPh sb="0" eb="2">
      <t>ジュウショ</t>
    </rPh>
    <rPh sb="3" eb="5">
      <t>ニュウリョク</t>
    </rPh>
    <phoneticPr fontId="2"/>
  </si>
  <si>
    <t>郵便番号を入力してください。</t>
    <rPh sb="0" eb="4">
      <t>ユウビンバンゴウ</t>
    </rPh>
    <rPh sb="5" eb="7">
      <t>ニュウリョク</t>
    </rPh>
    <phoneticPr fontId="2"/>
  </si>
  <si>
    <t>郵便番号を7桁で入力してください。</t>
    <rPh sb="6" eb="7">
      <t>ケタ</t>
    </rPh>
    <rPh sb="8" eb="10">
      <t>ニュウリョク</t>
    </rPh>
    <phoneticPr fontId="2"/>
  </si>
  <si>
    <t>出場申込データ入力シート（リレー情報）</t>
    <rPh sb="0" eb="2">
      <t>シュツジョウ</t>
    </rPh>
    <rPh sb="2" eb="3">
      <t>モウ</t>
    </rPh>
    <rPh sb="3" eb="4">
      <t>コ</t>
    </rPh>
    <rPh sb="7" eb="9">
      <t>ニュウリョク</t>
    </rPh>
    <rPh sb="16" eb="18">
      <t>ジョウホウ</t>
    </rPh>
    <phoneticPr fontId="2"/>
  </si>
  <si>
    <t>出場種目</t>
    <phoneticPr fontId="2"/>
  </si>
  <si>
    <t>登録番号</t>
    <phoneticPr fontId="2"/>
  </si>
  <si>
    <t>人数チェック</t>
    <rPh sb="0" eb="2">
      <t>ニンズウ</t>
    </rPh>
    <phoneticPr fontId="2"/>
  </si>
  <si>
    <t>4人以上入力してください。</t>
    <rPh sb="1" eb="4">
      <t>ニンイジョウ</t>
    </rPh>
    <rPh sb="4" eb="6">
      <t>ニュウリョク</t>
    </rPh>
    <phoneticPr fontId="2"/>
  </si>
  <si>
    <t>記録入力検知</t>
    <rPh sb="0" eb="2">
      <t>キロク</t>
    </rPh>
    <rPh sb="2" eb="4">
      <t>ニュウリョク</t>
    </rPh>
    <rPh sb="4" eb="6">
      <t>ケンチ</t>
    </rPh>
    <phoneticPr fontId="2"/>
  </si>
  <si>
    <t>人数カウント</t>
    <rPh sb="0" eb="2">
      <t>ニンズウ</t>
    </rPh>
    <phoneticPr fontId="2"/>
  </si>
  <si>
    <t>最高記録を表記して申し込む場合、最高記録を入力してください。</t>
    <rPh sb="5" eb="7">
      <t>ヒョウキ</t>
    </rPh>
    <rPh sb="9" eb="10">
      <t>モウ</t>
    </rPh>
    <rPh sb="11" eb="12">
      <t>コ</t>
    </rPh>
    <rPh sb="13" eb="15">
      <t>バアイ</t>
    </rPh>
    <rPh sb="21" eb="23">
      <t>ニュウリョク</t>
    </rPh>
    <phoneticPr fontId="2"/>
  </si>
  <si>
    <t>最高記録</t>
    <phoneticPr fontId="2"/>
  </si>
  <si>
    <t>最高記録は数字で入力してください</t>
    <rPh sb="0" eb="2">
      <t>サイコウ</t>
    </rPh>
    <rPh sb="5" eb="7">
      <t>スウジ</t>
    </rPh>
    <rPh sb="8" eb="10">
      <t>ニュウリョク</t>
    </rPh>
    <phoneticPr fontId="2"/>
  </si>
  <si>
    <t>年月日必須</t>
    <rPh sb="0" eb="3">
      <t>ネンガッピ</t>
    </rPh>
    <rPh sb="3" eb="5">
      <t>ヒッス</t>
    </rPh>
    <phoneticPr fontId="2"/>
  </si>
  <si>
    <t>4×400mR</t>
    <phoneticPr fontId="2"/>
  </si>
  <si>
    <t>4×100mR</t>
    <phoneticPr fontId="2"/>
  </si>
  <si>
    <t>学年</t>
    <rPh sb="0" eb="1">
      <t>ガク</t>
    </rPh>
    <rPh sb="1" eb="2">
      <t>ネン</t>
    </rPh>
    <phoneticPr fontId="2"/>
  </si>
  <si>
    <t>性別</t>
    <rPh sb="0" eb="1">
      <t>セイ</t>
    </rPh>
    <rPh sb="1" eb="2">
      <t>ベツ</t>
    </rPh>
    <phoneticPr fontId="2"/>
  </si>
  <si>
    <t>.</t>
    <phoneticPr fontId="2"/>
  </si>
  <si>
    <t>（様式　Ⅳ-Ａ）</t>
    <rPh sb="1" eb="3">
      <t>ヨウシキ</t>
    </rPh>
    <phoneticPr fontId="2"/>
  </si>
  <si>
    <t>（様式　Ⅳ-Ｂ）</t>
    <rPh sb="1" eb="3">
      <t>ヨウシキ</t>
    </rPh>
    <phoneticPr fontId="2"/>
  </si>
  <si>
    <t>性
別</t>
    <rPh sb="0" eb="1">
      <t>セイ</t>
    </rPh>
    <rPh sb="2" eb="3">
      <t>ベツ</t>
    </rPh>
    <phoneticPr fontId="2"/>
  </si>
  <si>
    <t>登録
陸協</t>
    <rPh sb="0" eb="2">
      <t>トウロク</t>
    </rPh>
    <rPh sb="3" eb="4">
      <t>リク</t>
    </rPh>
    <phoneticPr fontId="2"/>
  </si>
  <si>
    <t>学
年</t>
    <rPh sb="0" eb="1">
      <t>ガク</t>
    </rPh>
    <rPh sb="2" eb="3">
      <t>ネン</t>
    </rPh>
    <phoneticPr fontId="2"/>
  </si>
  <si>
    <t>標
準</t>
    <rPh sb="0" eb="1">
      <t>シルベ</t>
    </rPh>
    <rPh sb="2" eb="3">
      <t>ジュン</t>
    </rPh>
    <phoneticPr fontId="2"/>
  </si>
  <si>
    <t>完
了</t>
    <rPh sb="0" eb="1">
      <t>カン</t>
    </rPh>
    <rPh sb="2" eb="3">
      <t>リョウ</t>
    </rPh>
    <phoneticPr fontId="2"/>
  </si>
  <si>
    <t>男子種目設定</t>
    <rPh sb="0" eb="2">
      <t>ダンシ</t>
    </rPh>
    <rPh sb="2" eb="4">
      <t>シュモク</t>
    </rPh>
    <rPh sb="4" eb="6">
      <t>セッテイ</t>
    </rPh>
    <phoneticPr fontId="2"/>
  </si>
  <si>
    <t>不正種目</t>
    <rPh sb="0" eb="2">
      <t>フセイ</t>
    </rPh>
    <rPh sb="2" eb="4">
      <t>シュモク</t>
    </rPh>
    <phoneticPr fontId="2"/>
  </si>
  <si>
    <t>不正な種目が選択されています。</t>
    <rPh sb="0" eb="2">
      <t>フセイ</t>
    </rPh>
    <rPh sb="3" eb="5">
      <t>シュモク</t>
    </rPh>
    <rPh sb="6" eb="8">
      <t>センタク</t>
    </rPh>
    <phoneticPr fontId="2"/>
  </si>
  <si>
    <t>（様式　Ⅲ－１）</t>
    <rPh sb="1" eb="3">
      <t>ヨウシキ</t>
    </rPh>
    <phoneticPr fontId="2"/>
  </si>
  <si>
    <t>（様式　Ⅲ－２）</t>
    <rPh sb="1" eb="3">
      <t>ヨウシキ</t>
    </rPh>
    <phoneticPr fontId="2"/>
  </si>
  <si>
    <t>大　学　名</t>
    <rPh sb="0" eb="1">
      <t>ダイ</t>
    </rPh>
    <rPh sb="2" eb="3">
      <t>マナブ</t>
    </rPh>
    <rPh sb="4" eb="5">
      <t>メイ</t>
    </rPh>
    <phoneticPr fontId="2"/>
  </si>
  <si>
    <t>競技種目</t>
    <rPh sb="0" eb="2">
      <t>キョウギ</t>
    </rPh>
    <rPh sb="2" eb="4">
      <t>シュモク</t>
    </rPh>
    <phoneticPr fontId="2"/>
  </si>
  <si>
    <r>
      <rPr>
        <sz val="11"/>
        <rFont val="ＭＳ Ｐゴシック"/>
        <family val="3"/>
        <charset val="128"/>
      </rPr>
      <t>参考記録</t>
    </r>
    <rPh sb="0" eb="2">
      <t>サンコウ</t>
    </rPh>
    <rPh sb="2" eb="4">
      <t>キロク</t>
    </rPh>
    <phoneticPr fontId="2"/>
  </si>
  <si>
    <r>
      <rPr>
        <sz val="11"/>
        <rFont val="ＭＳ Ｐゴシック"/>
        <family val="3"/>
        <charset val="128"/>
      </rPr>
      <t>期　　日</t>
    </r>
    <rPh sb="0" eb="1">
      <t>キ</t>
    </rPh>
    <rPh sb="3" eb="4">
      <t>ヒ</t>
    </rPh>
    <phoneticPr fontId="2"/>
  </si>
  <si>
    <r>
      <rPr>
        <sz val="11"/>
        <rFont val="ＭＳ Ｐゴシック"/>
        <family val="3"/>
        <charset val="128"/>
      </rPr>
      <t>競技会名</t>
    </r>
    <rPh sb="0" eb="3">
      <t>キョウギカイ</t>
    </rPh>
    <rPh sb="3" eb="4">
      <t>メイ</t>
    </rPh>
    <phoneticPr fontId="2"/>
  </si>
  <si>
    <r>
      <rPr>
        <sz val="11"/>
        <rFont val="ＭＳ Ｐゴシック"/>
        <family val="3"/>
        <charset val="128"/>
      </rPr>
      <t>登録番号</t>
    </r>
    <rPh sb="0" eb="2">
      <t>トウロク</t>
    </rPh>
    <rPh sb="2" eb="4">
      <t>バンゴウ</t>
    </rPh>
    <phoneticPr fontId="2"/>
  </si>
  <si>
    <t>フ　リ　ガ　ナ</t>
    <phoneticPr fontId="2"/>
  </si>
  <si>
    <t>学年</t>
    <rPh sb="0" eb="2">
      <t>ガクネン</t>
    </rPh>
    <phoneticPr fontId="2"/>
  </si>
  <si>
    <r>
      <rPr>
        <sz val="11"/>
        <rFont val="ＭＳ Ｐゴシック"/>
        <family val="3"/>
        <charset val="128"/>
      </rPr>
      <t>登録陸協</t>
    </r>
    <rPh sb="0" eb="2">
      <t>トウロク</t>
    </rPh>
    <rPh sb="2" eb="3">
      <t>リク</t>
    </rPh>
    <rPh sb="3" eb="4">
      <t>キョウ</t>
    </rPh>
    <phoneticPr fontId="2"/>
  </si>
  <si>
    <t>氏　　　　　名</t>
    <rPh sb="0" eb="1">
      <t>シ</t>
    </rPh>
    <rPh sb="6" eb="7">
      <t>メイ</t>
    </rPh>
    <phoneticPr fontId="2"/>
  </si>
  <si>
    <r>
      <rPr>
        <sz val="11"/>
        <rFont val="ＭＳ Ｐゴシック"/>
        <family val="3"/>
        <charset val="128"/>
      </rPr>
      <t>大　学　名</t>
    </r>
    <rPh sb="0" eb="1">
      <t>ダイ</t>
    </rPh>
    <rPh sb="2" eb="3">
      <t>マナブ</t>
    </rPh>
    <rPh sb="4" eb="5">
      <t>メイ</t>
    </rPh>
    <phoneticPr fontId="2"/>
  </si>
  <si>
    <t>競技種目</t>
    <rPh sb="0" eb="2">
      <t>キョウギ</t>
    </rPh>
    <rPh sb="2" eb="4">
      <t>シュモク</t>
    </rPh>
    <phoneticPr fontId="2"/>
  </si>
  <si>
    <r>
      <t>登</t>
    </r>
    <r>
      <rPr>
        <sz val="11"/>
        <color indexed="8"/>
        <rFont val="ＭＳ Ｐゴシック"/>
        <family val="3"/>
        <charset val="128"/>
      </rPr>
      <t>録陸協</t>
    </r>
    <rPh sb="0" eb="2">
      <t>トウロク</t>
    </rPh>
    <rPh sb="2" eb="3">
      <t>リク</t>
    </rPh>
    <rPh sb="3" eb="4">
      <t>キョウ</t>
    </rPh>
    <phoneticPr fontId="2"/>
  </si>
  <si>
    <r>
      <t>----------------------------------------------------------------------------</t>
    </r>
    <r>
      <rPr>
        <sz val="11"/>
        <color indexed="8"/>
        <rFont val="ＭＳ Ｐ明朝"/>
        <family val="1"/>
        <charset val="128"/>
      </rPr>
      <t>切り取り線</t>
    </r>
    <r>
      <rPr>
        <sz val="11"/>
        <color indexed="8"/>
        <rFont val="Times New Roman"/>
        <family val="1"/>
      </rPr>
      <t>----------------------------------------------------------------------------</t>
    </r>
    <rPh sb="76" eb="81">
      <t>キリトリセン</t>
    </rPh>
    <phoneticPr fontId="2"/>
  </si>
  <si>
    <t>｜
｜
｜
｜
｜
｜
｜
｜
｜
｜
｜
｜
｜
｜
｜
｜
｜
｜
｜
｜
｜
｜
｜
｜
｜
｜
｜
｜
｜
｜
｜
｜</t>
    <phoneticPr fontId="2"/>
  </si>
  <si>
    <t>｜
｜
｜
｜
｜
｜
｜
｜
｜
｜
｜
｜
｜
｜
｜
｜
｜
｜
｜
｜
｜
｜
｜
｜
｜
｜
｜
｜
｜
｜
｜
｜</t>
    <phoneticPr fontId="2"/>
  </si>
  <si>
    <t>その他出場種目</t>
    <rPh sb="2" eb="3">
      <t>タ</t>
    </rPh>
    <rPh sb="3" eb="5">
      <t>シュツジョウ</t>
    </rPh>
    <rPh sb="5" eb="7">
      <t>シュモク</t>
    </rPh>
    <phoneticPr fontId="2"/>
  </si>
  <si>
    <t>4</t>
  </si>
  <si>
    <t>愛知県</t>
  </si>
  <si>
    <t>M2</t>
  </si>
  <si>
    <t>高知県</t>
  </si>
  <si>
    <t>M1</t>
  </si>
  <si>
    <t>3</t>
  </si>
  <si>
    <t>岐阜県</t>
  </si>
  <si>
    <t>2</t>
  </si>
  <si>
    <t>三重県</t>
  </si>
  <si>
    <t>山口県</t>
  </si>
  <si>
    <t>静岡県</t>
  </si>
  <si>
    <t>近藤　翔平</t>
  </si>
  <si>
    <t>ｺﾝﾄﾞｳ ｼｮｳﾍｲ</t>
  </si>
  <si>
    <t>奈良県</t>
  </si>
  <si>
    <t>ﾅｶﾑﾗ ﾕｳﾀ</t>
  </si>
  <si>
    <t>熊本県</t>
  </si>
  <si>
    <t>徳島県</t>
  </si>
  <si>
    <t>兵庫県</t>
  </si>
  <si>
    <t>大分県</t>
  </si>
  <si>
    <t>6</t>
  </si>
  <si>
    <t>1</t>
  </si>
  <si>
    <t>愛媛県</t>
  </si>
  <si>
    <t>大阪府</t>
  </si>
  <si>
    <t>ﾔﾏﾀﾞ ﾕｳｷ</t>
  </si>
  <si>
    <t>ｶﾄｳ ｹｲ</t>
  </si>
  <si>
    <t>谷口　智大</t>
  </si>
  <si>
    <t>滋賀県</t>
  </si>
  <si>
    <t>京都府</t>
  </si>
  <si>
    <t>沖縄県</t>
  </si>
  <si>
    <t>香川県</t>
  </si>
  <si>
    <t>宮崎県</t>
  </si>
  <si>
    <t>福井県</t>
  </si>
  <si>
    <t>ｻﾄｳ ﾋﾛｷ</t>
  </si>
  <si>
    <t>5</t>
  </si>
  <si>
    <t>新潟県</t>
  </si>
  <si>
    <t>広島県</t>
  </si>
  <si>
    <t>木村　文哉</t>
  </si>
  <si>
    <t>ｷﾑﾗ ﾌﾐﾔ</t>
  </si>
  <si>
    <t>ﾔﾏﾀﾞ ﾏｻﾋﾛ</t>
  </si>
  <si>
    <t>岡山県</t>
  </si>
  <si>
    <t>和歌山県</t>
  </si>
  <si>
    <t>島根県</t>
  </si>
  <si>
    <t>鳥取県</t>
  </si>
  <si>
    <t>長崎県</t>
  </si>
  <si>
    <t>鹿児島県</t>
  </si>
  <si>
    <t>佐賀県</t>
  </si>
  <si>
    <t>佐々木　優</t>
  </si>
  <si>
    <t>ｻｻｷ ｽｸﾞﾙ</t>
  </si>
  <si>
    <t>〇</t>
    <phoneticPr fontId="2"/>
  </si>
  <si>
    <t>最高記録を表記して申し込む場合、競技会名を入力してください。</t>
    <rPh sb="16" eb="19">
      <t>キョウギカイ</t>
    </rPh>
    <rPh sb="19" eb="20">
      <t>メイ</t>
    </rPh>
    <rPh sb="21" eb="23">
      <t>ニュウリョク</t>
    </rPh>
    <phoneticPr fontId="2"/>
  </si>
  <si>
    <t>最高記録を表記して申し込む場合、日付を入力してください。</t>
    <rPh sb="16" eb="18">
      <t>ヒヅケ</t>
    </rPh>
    <rPh sb="19" eb="21">
      <t>ニュウリョク</t>
    </rPh>
    <phoneticPr fontId="2"/>
  </si>
  <si>
    <t>種目別一覧の表示を修正・リレー情報の手動計時の入力を修正</t>
    <rPh sb="0" eb="3">
      <t>シュモクベツ</t>
    </rPh>
    <rPh sb="3" eb="5">
      <t>イチラン</t>
    </rPh>
    <rPh sb="6" eb="8">
      <t>ヒョウジ</t>
    </rPh>
    <rPh sb="9" eb="11">
      <t>シュウセイ</t>
    </rPh>
    <rPh sb="15" eb="17">
      <t>ジョウホウ</t>
    </rPh>
    <rPh sb="18" eb="20">
      <t>シュドウ</t>
    </rPh>
    <rPh sb="20" eb="22">
      <t>ケイジ</t>
    </rPh>
    <rPh sb="23" eb="25">
      <t>ニュウリョク</t>
    </rPh>
    <rPh sb="26" eb="28">
      <t>シュウセイ</t>
    </rPh>
    <phoneticPr fontId="2"/>
  </si>
  <si>
    <t>団体名</t>
    <rPh sb="0" eb="3">
      <t>ダンタイメイ</t>
    </rPh>
    <phoneticPr fontId="2"/>
  </si>
  <si>
    <t>カナ氏名</t>
    <rPh sb="2" eb="4">
      <t>シメイ</t>
    </rPh>
    <phoneticPr fontId="2"/>
  </si>
  <si>
    <t>伊藤　裕也</t>
  </si>
  <si>
    <t>ｲﾄｳ ﾕｳﾔ</t>
  </si>
  <si>
    <t>ﾅｶﾆｼ ﾋﾛｷ</t>
  </si>
  <si>
    <t>ﾔﾏﾓﾄ ﾕｳｷ</t>
  </si>
  <si>
    <t>ﾌｼﾞﾜﾗ ｼｭﾝﾔ</t>
  </si>
  <si>
    <t>ﾀｹｳﾁ ﾕｳﾄ</t>
  </si>
  <si>
    <t>中村　勇太</t>
  </si>
  <si>
    <t>ﾓﾘ ｼｮｳﾀ</t>
  </si>
  <si>
    <t>ﾔﾏﾓﾄ ﾕｳﾀ</t>
  </si>
  <si>
    <t>930428</t>
  </si>
  <si>
    <t>930421</t>
  </si>
  <si>
    <t>930530</t>
  </si>
  <si>
    <t>940214</t>
  </si>
  <si>
    <t>931015</t>
  </si>
  <si>
    <t>930405</t>
  </si>
  <si>
    <t>930812</t>
  </si>
  <si>
    <t>930801</t>
  </si>
  <si>
    <t>930422</t>
  </si>
  <si>
    <t>940225</t>
  </si>
  <si>
    <t>930707</t>
  </si>
  <si>
    <t>931210</t>
  </si>
  <si>
    <t>930607</t>
  </si>
  <si>
    <t>940126</t>
  </si>
  <si>
    <t>931017</t>
  </si>
  <si>
    <t>950116</t>
  </si>
  <si>
    <t>940809</t>
  </si>
  <si>
    <t>940506</t>
  </si>
  <si>
    <t>950221</t>
  </si>
  <si>
    <t>941130</t>
  </si>
  <si>
    <t>940722</t>
  </si>
  <si>
    <t>941226</t>
  </si>
  <si>
    <t>930507</t>
  </si>
  <si>
    <t>940627</t>
  </si>
  <si>
    <t>940428</t>
  </si>
  <si>
    <t>941031</t>
  </si>
  <si>
    <t>950628</t>
  </si>
  <si>
    <t>950711</t>
  </si>
  <si>
    <t>951130</t>
  </si>
  <si>
    <t>950409</t>
  </si>
  <si>
    <t>960122</t>
  </si>
  <si>
    <t>951118</t>
  </si>
  <si>
    <t>960221</t>
  </si>
  <si>
    <t>950402</t>
  </si>
  <si>
    <t>951104</t>
  </si>
  <si>
    <t>950527</t>
  </si>
  <si>
    <t>950422</t>
  </si>
  <si>
    <t>950602</t>
  </si>
  <si>
    <t>950716</t>
  </si>
  <si>
    <t>950925</t>
  </si>
  <si>
    <t>950910</t>
  </si>
  <si>
    <t>950511</t>
  </si>
  <si>
    <t>950703</t>
  </si>
  <si>
    <t>950826</t>
  </si>
  <si>
    <t>951103</t>
  </si>
  <si>
    <t>940108</t>
  </si>
  <si>
    <t>930424</t>
  </si>
  <si>
    <t>930514</t>
  </si>
  <si>
    <t>930813</t>
  </si>
  <si>
    <t>930425</t>
  </si>
  <si>
    <t>950217</t>
  </si>
  <si>
    <t>940705</t>
  </si>
  <si>
    <t>950214</t>
  </si>
  <si>
    <t>940427</t>
  </si>
  <si>
    <t>950110</t>
  </si>
  <si>
    <t>941019</t>
  </si>
  <si>
    <t>940701</t>
  </si>
  <si>
    <t>940917</t>
  </si>
  <si>
    <t>950408</t>
  </si>
  <si>
    <t>950411</t>
  </si>
  <si>
    <t>950918</t>
  </si>
  <si>
    <t>950801</t>
  </si>
  <si>
    <t>950508</t>
  </si>
  <si>
    <t>950924</t>
  </si>
  <si>
    <t>960123</t>
  </si>
  <si>
    <t>950725</t>
  </si>
  <si>
    <t>951102</t>
  </si>
  <si>
    <t>960107</t>
  </si>
  <si>
    <t>951120</t>
  </si>
  <si>
    <t>961201</t>
  </si>
  <si>
    <t>920509</t>
  </si>
  <si>
    <t>930623</t>
  </si>
  <si>
    <t>930923</t>
  </si>
  <si>
    <t>931019</t>
  </si>
  <si>
    <t>931119</t>
  </si>
  <si>
    <t>931124</t>
  </si>
  <si>
    <t>940311</t>
  </si>
  <si>
    <t>940408</t>
  </si>
  <si>
    <t>940421</t>
  </si>
  <si>
    <t>940422</t>
  </si>
  <si>
    <t>940718</t>
  </si>
  <si>
    <t>940922</t>
  </si>
  <si>
    <t>941211</t>
  </si>
  <si>
    <t>941212</t>
  </si>
  <si>
    <t>941216</t>
  </si>
  <si>
    <t>950324</t>
  </si>
  <si>
    <t>950404</t>
  </si>
  <si>
    <t>950430</t>
  </si>
  <si>
    <t>950531</t>
  </si>
  <si>
    <t>950807</t>
  </si>
  <si>
    <t>950810</t>
  </si>
  <si>
    <t>960212</t>
  </si>
  <si>
    <t>960919</t>
  </si>
  <si>
    <t>930603</t>
  </si>
  <si>
    <t>941004</t>
  </si>
  <si>
    <t>940919</t>
  </si>
  <si>
    <t>941018</t>
  </si>
  <si>
    <t>950721</t>
  </si>
  <si>
    <t>950601</t>
  </si>
  <si>
    <t>950525</t>
  </si>
  <si>
    <t>960110</t>
  </si>
  <si>
    <t>950908</t>
  </si>
  <si>
    <t>950421</t>
  </si>
  <si>
    <t>960121</t>
  </si>
  <si>
    <t>951030</t>
  </si>
  <si>
    <t>950517</t>
  </si>
  <si>
    <t>960126</t>
  </si>
  <si>
    <t>960329</t>
  </si>
  <si>
    <t>961114</t>
  </si>
  <si>
    <t>930516</t>
  </si>
  <si>
    <t>951125</t>
  </si>
  <si>
    <t>951105</t>
  </si>
  <si>
    <t>940109</t>
  </si>
  <si>
    <t>940425</t>
  </si>
  <si>
    <t>941221</t>
  </si>
  <si>
    <t>940530</t>
  </si>
  <si>
    <t>940418</t>
  </si>
  <si>
    <t>940426</t>
  </si>
  <si>
    <t>941116</t>
  </si>
  <si>
    <t>940829</t>
  </si>
  <si>
    <t>940806</t>
  </si>
  <si>
    <t>940616</t>
  </si>
  <si>
    <t>951002</t>
  </si>
  <si>
    <t>950726</t>
  </si>
  <si>
    <t>950624</t>
  </si>
  <si>
    <t>950611</t>
  </si>
  <si>
    <t>950130</t>
  </si>
  <si>
    <t>950915</t>
  </si>
  <si>
    <t>950608</t>
  </si>
  <si>
    <t>950728</t>
  </si>
  <si>
    <t>950326</t>
  </si>
  <si>
    <t>930907</t>
  </si>
  <si>
    <t>930506</t>
  </si>
  <si>
    <t>931113</t>
  </si>
  <si>
    <t>940120</t>
  </si>
  <si>
    <t>931011</t>
  </si>
  <si>
    <t>930531</t>
  </si>
  <si>
    <t>930705</t>
  </si>
  <si>
    <t>940612</t>
  </si>
  <si>
    <t>950118</t>
  </si>
  <si>
    <t>941231</t>
  </si>
  <si>
    <t>940617</t>
  </si>
  <si>
    <t>941124</t>
  </si>
  <si>
    <t>940110</t>
  </si>
  <si>
    <t>950113</t>
  </si>
  <si>
    <t>950207</t>
  </si>
  <si>
    <t>940502</t>
  </si>
  <si>
    <t>940914</t>
  </si>
  <si>
    <t>950109</t>
  </si>
  <si>
    <t>940513</t>
  </si>
  <si>
    <t>940929</t>
  </si>
  <si>
    <t>940510</t>
  </si>
  <si>
    <t>940409</t>
  </si>
  <si>
    <t>950107</t>
  </si>
  <si>
    <t>940927</t>
  </si>
  <si>
    <t>940821</t>
  </si>
  <si>
    <t>941102</t>
  </si>
  <si>
    <t>941016</t>
  </si>
  <si>
    <t>940901</t>
  </si>
  <si>
    <t>941003</t>
  </si>
  <si>
    <t>940429</t>
  </si>
  <si>
    <t>950506</t>
  </si>
  <si>
    <t>950729</t>
  </si>
  <si>
    <t>950614</t>
  </si>
  <si>
    <t>960331</t>
  </si>
  <si>
    <t>960313</t>
  </si>
  <si>
    <t>950520</t>
  </si>
  <si>
    <t>950818</t>
  </si>
  <si>
    <t>950926</t>
  </si>
  <si>
    <t>950403</t>
  </si>
  <si>
    <t>951018</t>
  </si>
  <si>
    <t>950503</t>
  </si>
  <si>
    <t>950630</t>
  </si>
  <si>
    <t>950821</t>
  </si>
  <si>
    <t>951124</t>
  </si>
  <si>
    <t>950822</t>
  </si>
  <si>
    <t>931115</t>
  </si>
  <si>
    <t>940728</t>
  </si>
  <si>
    <t>950927</t>
  </si>
  <si>
    <t>950607</t>
  </si>
  <si>
    <t>960205</t>
  </si>
  <si>
    <t>950803</t>
  </si>
  <si>
    <t>951014</t>
  </si>
  <si>
    <t>950928</t>
  </si>
  <si>
    <t>930408</t>
  </si>
  <si>
    <t>950502</t>
  </si>
  <si>
    <t>940708</t>
  </si>
  <si>
    <t>930922</t>
  </si>
  <si>
    <t>950522</t>
  </si>
  <si>
    <t>940805</t>
  </si>
  <si>
    <t>940713</t>
  </si>
  <si>
    <t>931014</t>
  </si>
  <si>
    <t>931214</t>
  </si>
  <si>
    <t>940521</t>
  </si>
  <si>
    <t>940618</t>
  </si>
  <si>
    <t>950124</t>
  </si>
  <si>
    <t>940402</t>
  </si>
  <si>
    <t>940906</t>
  </si>
  <si>
    <t>941122</t>
  </si>
  <si>
    <t>940619</t>
  </si>
  <si>
    <t>940511</t>
  </si>
  <si>
    <t>950731</t>
  </si>
  <si>
    <t>950514</t>
  </si>
  <si>
    <t>951216</t>
  </si>
  <si>
    <t>950427</t>
  </si>
  <si>
    <t>950524</t>
  </si>
  <si>
    <t>940607</t>
  </si>
  <si>
    <t>961225</t>
  </si>
  <si>
    <t>931021</t>
  </si>
  <si>
    <t>960208</t>
  </si>
  <si>
    <t>950609</t>
  </si>
  <si>
    <t>960710</t>
  </si>
  <si>
    <t>950509</t>
  </si>
  <si>
    <t>940913</t>
  </si>
  <si>
    <t>960215</t>
  </si>
  <si>
    <t>950501</t>
  </si>
  <si>
    <t>951007</t>
  </si>
  <si>
    <t>950916</t>
  </si>
  <si>
    <t>941014</t>
  </si>
  <si>
    <t>940517</t>
  </si>
  <si>
    <t>940707</t>
  </si>
  <si>
    <t>940831</t>
  </si>
  <si>
    <t>940918</t>
  </si>
  <si>
    <t>930714</t>
  </si>
  <si>
    <t>930517</t>
  </si>
  <si>
    <t>940228</t>
  </si>
  <si>
    <t>930929</t>
  </si>
  <si>
    <t>940209</t>
  </si>
  <si>
    <t>930526</t>
  </si>
  <si>
    <t>930423</t>
  </si>
  <si>
    <t>930809</t>
  </si>
  <si>
    <t>930616</t>
  </si>
  <si>
    <t>950428</t>
  </si>
  <si>
    <t>930412</t>
  </si>
  <si>
    <t>931022</t>
  </si>
  <si>
    <t>930528</t>
  </si>
  <si>
    <t>930525</t>
  </si>
  <si>
    <t>931204</t>
  </si>
  <si>
    <t>931202</t>
  </si>
  <si>
    <t>931125</t>
  </si>
  <si>
    <t>940121</t>
  </si>
  <si>
    <t>930831</t>
  </si>
  <si>
    <t>930909</t>
  </si>
  <si>
    <t>930613</t>
  </si>
  <si>
    <t>940207</t>
  </si>
  <si>
    <t>930602</t>
  </si>
  <si>
    <t>930413</t>
  </si>
  <si>
    <t>930615</t>
  </si>
  <si>
    <t>940218</t>
  </si>
  <si>
    <t>930828</t>
  </si>
  <si>
    <t>940227</t>
  </si>
  <si>
    <t>940118</t>
  </si>
  <si>
    <t>930523</t>
  </si>
  <si>
    <t>930414</t>
  </si>
  <si>
    <t>930827</t>
  </si>
  <si>
    <t>930503</t>
  </si>
  <si>
    <t>940727</t>
  </si>
  <si>
    <t>940420</t>
  </si>
  <si>
    <t>941105</t>
  </si>
  <si>
    <t>940903</t>
  </si>
  <si>
    <t>940808</t>
  </si>
  <si>
    <t>950225</t>
  </si>
  <si>
    <t>941209</t>
  </si>
  <si>
    <t>940620</t>
  </si>
  <si>
    <t>941202</t>
  </si>
  <si>
    <t>941224</t>
  </si>
  <si>
    <t>940719</t>
  </si>
  <si>
    <t>940706</t>
  </si>
  <si>
    <t>940628</t>
  </si>
  <si>
    <t>940524</t>
  </si>
  <si>
    <t>940602</t>
  </si>
  <si>
    <t>941117</t>
  </si>
  <si>
    <t>940826</t>
  </si>
  <si>
    <t>940601</t>
  </si>
  <si>
    <t>941201</t>
  </si>
  <si>
    <t>940909</t>
  </si>
  <si>
    <t>940503</t>
  </si>
  <si>
    <t>951221</t>
  </si>
  <si>
    <t>960228</t>
  </si>
  <si>
    <t>951220</t>
  </si>
  <si>
    <t>960115</t>
  </si>
  <si>
    <t>950625</t>
  </si>
  <si>
    <t>950712</t>
  </si>
  <si>
    <t>950226</t>
  </si>
  <si>
    <t>950424</t>
  </si>
  <si>
    <t>950921</t>
  </si>
  <si>
    <t>950830</t>
  </si>
  <si>
    <t>950831</t>
  </si>
  <si>
    <t>950513</t>
  </si>
  <si>
    <t>951121</t>
  </si>
  <si>
    <t>950816</t>
  </si>
  <si>
    <t>960116</t>
  </si>
  <si>
    <t>950423</t>
  </si>
  <si>
    <t>951101</t>
  </si>
  <si>
    <t>950530</t>
  </si>
  <si>
    <t>950413</t>
  </si>
  <si>
    <t>960305</t>
  </si>
  <si>
    <t>960206</t>
  </si>
  <si>
    <t>950613</t>
  </si>
  <si>
    <t>951227</t>
  </si>
  <si>
    <t>951026</t>
  </si>
  <si>
    <t>950415</t>
  </si>
  <si>
    <t>950629</t>
  </si>
  <si>
    <t>930324</t>
  </si>
  <si>
    <t>940615</t>
  </si>
  <si>
    <t>950106</t>
  </si>
  <si>
    <t>951001</t>
  </si>
  <si>
    <t>930510</t>
  </si>
  <si>
    <t>960210</t>
  </si>
  <si>
    <t>960125</t>
  </si>
  <si>
    <t>930630</t>
  </si>
  <si>
    <t>930914</t>
  </si>
  <si>
    <t>930605</t>
  </si>
  <si>
    <t>920826</t>
  </si>
  <si>
    <t>941214</t>
  </si>
  <si>
    <t>940912</t>
  </si>
  <si>
    <t>941115</t>
  </si>
  <si>
    <t>941126</t>
  </si>
  <si>
    <t>940730</t>
  </si>
  <si>
    <t>931213</t>
  </si>
  <si>
    <t>940525</t>
  </si>
  <si>
    <t>960510</t>
  </si>
  <si>
    <t>941024</t>
  </si>
  <si>
    <t>940721</t>
  </si>
  <si>
    <t>960713</t>
  </si>
  <si>
    <t>970312</t>
  </si>
  <si>
    <t>960417</t>
  </si>
  <si>
    <t>961207</t>
  </si>
  <si>
    <t>961119</t>
  </si>
  <si>
    <t>961016</t>
  </si>
  <si>
    <t>970210</t>
  </si>
  <si>
    <t>911005</t>
  </si>
  <si>
    <t>940216</t>
  </si>
  <si>
    <t>940928</t>
  </si>
  <si>
    <t>950321</t>
  </si>
  <si>
    <t>940825</t>
  </si>
  <si>
    <t>940626</t>
  </si>
  <si>
    <t>960127</t>
  </si>
  <si>
    <t>950929</t>
  </si>
  <si>
    <t>950414</t>
  </si>
  <si>
    <t>940715</t>
  </si>
  <si>
    <t>960306</t>
  </si>
  <si>
    <t>940325</t>
  </si>
  <si>
    <t>930719</t>
  </si>
  <si>
    <t>950828</t>
  </si>
  <si>
    <t>901113</t>
  </si>
  <si>
    <t>930302</t>
  </si>
  <si>
    <t>930625</t>
  </si>
  <si>
    <t>940302</t>
  </si>
  <si>
    <t>930905</t>
  </si>
  <si>
    <t>920801</t>
  </si>
  <si>
    <t>950216</t>
  </si>
  <si>
    <t>950304</t>
  </si>
  <si>
    <t>940219</t>
  </si>
  <si>
    <t>941017</t>
  </si>
  <si>
    <t>951025</t>
  </si>
  <si>
    <t>950621</t>
  </si>
  <si>
    <t>941029</t>
  </si>
  <si>
    <t>960401</t>
  </si>
  <si>
    <t>950329</t>
  </si>
  <si>
    <t>950802</t>
  </si>
  <si>
    <t>940624</t>
  </si>
  <si>
    <t>950617</t>
  </si>
  <si>
    <t>940610</t>
  </si>
  <si>
    <t>950406</t>
  </si>
  <si>
    <t>950515</t>
  </si>
  <si>
    <t>950923</t>
  </si>
  <si>
    <t>931016</t>
  </si>
  <si>
    <t>930814</t>
  </si>
  <si>
    <t>950719</t>
  </si>
  <si>
    <t>950905</t>
  </si>
  <si>
    <t>950507</t>
  </si>
  <si>
    <t>961029</t>
  </si>
  <si>
    <t>960703</t>
  </si>
  <si>
    <t>960716</t>
  </si>
  <si>
    <t>960906</t>
  </si>
  <si>
    <t>960806</t>
  </si>
  <si>
    <t>960516</t>
  </si>
  <si>
    <t>961219</t>
  </si>
  <si>
    <t>921103</t>
  </si>
  <si>
    <t>940802</t>
  </si>
  <si>
    <t>960830</t>
  </si>
  <si>
    <t>960624</t>
  </si>
  <si>
    <t>961110</t>
  </si>
  <si>
    <t>970121</t>
  </si>
  <si>
    <t>961220</t>
  </si>
  <si>
    <t>960814</t>
  </si>
  <si>
    <t>960408</t>
  </si>
  <si>
    <t>970120</t>
  </si>
  <si>
    <t>961027</t>
  </si>
  <si>
    <t>960522</t>
  </si>
  <si>
    <t>960804</t>
  </si>
  <si>
    <t>970124</t>
  </si>
  <si>
    <t>960526</t>
  </si>
  <si>
    <t>970103</t>
  </si>
  <si>
    <t>960627</t>
  </si>
  <si>
    <t>960813</t>
  </si>
  <si>
    <t>961005</t>
  </si>
  <si>
    <t>970305</t>
  </si>
  <si>
    <t>960419</t>
  </si>
  <si>
    <t>960614</t>
  </si>
  <si>
    <t>960721</t>
  </si>
  <si>
    <t>960819</t>
  </si>
  <si>
    <t>960428</t>
  </si>
  <si>
    <t>970221</t>
  </si>
  <si>
    <t>961126</t>
  </si>
  <si>
    <t>960421</t>
  </si>
  <si>
    <t>961015</t>
  </si>
  <si>
    <t>960414</t>
  </si>
  <si>
    <t>961001</t>
  </si>
  <si>
    <t>960930</t>
  </si>
  <si>
    <t>970104</t>
  </si>
  <si>
    <t>960413</t>
  </si>
  <si>
    <t>970226</t>
  </si>
  <si>
    <t>950811</t>
  </si>
  <si>
    <t>970201</t>
  </si>
  <si>
    <t>960827</t>
  </si>
  <si>
    <t>960822</t>
  </si>
  <si>
    <t>960612</t>
  </si>
  <si>
    <t>960429</t>
  </si>
  <si>
    <t>960722</t>
  </si>
  <si>
    <t>960518</t>
  </si>
  <si>
    <t>961129</t>
  </si>
  <si>
    <t>960925</t>
  </si>
  <si>
    <t>970205</t>
  </si>
  <si>
    <t>960409</t>
  </si>
  <si>
    <t>950122</t>
  </si>
  <si>
    <t>951206</t>
  </si>
  <si>
    <t>941110</t>
  </si>
  <si>
    <t>960602</t>
  </si>
  <si>
    <t>961014</t>
  </si>
  <si>
    <t>961020</t>
  </si>
  <si>
    <t>960907</t>
  </si>
  <si>
    <t>960620</t>
  </si>
  <si>
    <t>960402</t>
  </si>
  <si>
    <t>960513</t>
  </si>
  <si>
    <t>960616</t>
  </si>
  <si>
    <t>960922</t>
  </si>
  <si>
    <t>960517</t>
  </si>
  <si>
    <t>960607</t>
  </si>
  <si>
    <t>961216</t>
  </si>
  <si>
    <t>960411</t>
  </si>
  <si>
    <t>960918</t>
  </si>
  <si>
    <t>961230</t>
  </si>
  <si>
    <t>960725</t>
  </si>
  <si>
    <t>960422</t>
  </si>
  <si>
    <t>941220</t>
  </si>
  <si>
    <t>940916</t>
  </si>
  <si>
    <t>930515</t>
  </si>
  <si>
    <t>941020</t>
  </si>
  <si>
    <t>940424</t>
  </si>
  <si>
    <t>960430</t>
  </si>
  <si>
    <t>960702</t>
  </si>
  <si>
    <t>961212</t>
  </si>
  <si>
    <t>970310</t>
  </si>
  <si>
    <t>930426</t>
  </si>
  <si>
    <t>960118</t>
  </si>
  <si>
    <t>960326</t>
  </si>
  <si>
    <t>950902</t>
  </si>
  <si>
    <t>950606</t>
  </si>
  <si>
    <t>941129</t>
  </si>
  <si>
    <t>941125</t>
  </si>
  <si>
    <t>940111</t>
  </si>
  <si>
    <t>951027</t>
  </si>
  <si>
    <t>930508</t>
  </si>
  <si>
    <t>941114</t>
  </si>
  <si>
    <t>950328</t>
  </si>
  <si>
    <t>960310</t>
  </si>
  <si>
    <t>940516</t>
  </si>
  <si>
    <t>951019</t>
  </si>
  <si>
    <t>950706</t>
  </si>
  <si>
    <t>940902</t>
  </si>
  <si>
    <t>930430</t>
  </si>
  <si>
    <t>940606</t>
  </si>
  <si>
    <t>930902</t>
  </si>
  <si>
    <t>961121</t>
  </si>
  <si>
    <t>970113</t>
  </si>
  <si>
    <t>960820</t>
  </si>
  <si>
    <t>920728</t>
  </si>
  <si>
    <t>961226</t>
  </si>
  <si>
    <t>961021</t>
  </si>
  <si>
    <t>961209</t>
  </si>
  <si>
    <t>960826</t>
  </si>
  <si>
    <t>960204</t>
  </si>
  <si>
    <t>970304</t>
  </si>
  <si>
    <t>960509</t>
  </si>
  <si>
    <t>960507</t>
  </si>
  <si>
    <t>960724</t>
  </si>
  <si>
    <t>961125</t>
  </si>
  <si>
    <t>961205</t>
  </si>
  <si>
    <t>961227</t>
  </si>
  <si>
    <t>970325</t>
  </si>
  <si>
    <t>960424</t>
  </si>
  <si>
    <t>960818</t>
  </si>
  <si>
    <t>951021</t>
  </si>
  <si>
    <t>941006</t>
  </si>
  <si>
    <t>961028</t>
  </si>
  <si>
    <t>970127</t>
  </si>
  <si>
    <t>960828</t>
  </si>
  <si>
    <t>961104</t>
  </si>
  <si>
    <t>960120</t>
  </si>
  <si>
    <t>960926</t>
  </si>
  <si>
    <t>961217</t>
  </si>
  <si>
    <t>970316</t>
  </si>
  <si>
    <t>961025</t>
  </si>
  <si>
    <t>970131</t>
  </si>
  <si>
    <t>960904</t>
  </si>
  <si>
    <t>960213</t>
  </si>
  <si>
    <t>931002</t>
  </si>
  <si>
    <t>961122</t>
  </si>
  <si>
    <t>940911</t>
  </si>
  <si>
    <t>960501</t>
  </si>
  <si>
    <t>960924</t>
  </si>
  <si>
    <t>970130</t>
  </si>
  <si>
    <t>960403</t>
  </si>
  <si>
    <t>961228</t>
  </si>
  <si>
    <t>M3</t>
  </si>
  <si>
    <t>女</t>
    <rPh sb="0" eb="1">
      <t>オンナ</t>
    </rPh>
    <phoneticPr fontId="2"/>
  </si>
  <si>
    <t>930808</t>
  </si>
  <si>
    <t>940925</t>
  </si>
  <si>
    <t>940413</t>
  </si>
  <si>
    <t>940720</t>
  </si>
  <si>
    <t>950605</t>
  </si>
  <si>
    <t>931028</t>
  </si>
  <si>
    <t>930604</t>
  </si>
  <si>
    <t>930610</t>
  </si>
  <si>
    <t>940204</t>
  </si>
  <si>
    <t>960103</t>
  </si>
  <si>
    <t>960315</t>
  </si>
  <si>
    <t>950819</t>
  </si>
  <si>
    <t>940729</t>
  </si>
  <si>
    <t>940810</t>
  </si>
  <si>
    <t>941106</t>
  </si>
  <si>
    <t>941206</t>
  </si>
  <si>
    <t>950903</t>
  </si>
  <si>
    <t>960309</t>
  </si>
  <si>
    <t>960515</t>
  </si>
  <si>
    <t>930419</t>
  </si>
  <si>
    <t>941217</t>
  </si>
  <si>
    <t>941026</t>
  </si>
  <si>
    <t>951107</t>
  </si>
  <si>
    <t>931225</t>
  </si>
  <si>
    <t>950228</t>
  </si>
  <si>
    <t>940904</t>
  </si>
  <si>
    <t>940515</t>
  </si>
  <si>
    <t>951009</t>
  </si>
  <si>
    <t>950616</t>
  </si>
  <si>
    <t>960601</t>
  </si>
  <si>
    <t>951208</t>
  </si>
  <si>
    <t>930402</t>
  </si>
  <si>
    <t>930512</t>
  </si>
  <si>
    <t>950322</t>
  </si>
  <si>
    <t>960114</t>
  </si>
  <si>
    <t>930711</t>
  </si>
  <si>
    <t>940415</t>
  </si>
  <si>
    <t>950108</t>
  </si>
  <si>
    <t>951205</t>
  </si>
  <si>
    <t>950912</t>
  </si>
  <si>
    <t>960229</t>
  </si>
  <si>
    <t>960224</t>
  </si>
  <si>
    <t>930807</t>
  </si>
  <si>
    <t>930901</t>
  </si>
  <si>
    <t>931209</t>
  </si>
  <si>
    <t>931026</t>
  </si>
  <si>
    <t>940117</t>
  </si>
  <si>
    <t>931216</t>
  </si>
  <si>
    <t>930726</t>
  </si>
  <si>
    <t>940520</t>
  </si>
  <si>
    <t>940604</t>
  </si>
  <si>
    <t>941203</t>
  </si>
  <si>
    <t>940908</t>
  </si>
  <si>
    <t>940518</t>
  </si>
  <si>
    <t>950804</t>
  </si>
  <si>
    <t>960317</t>
  </si>
  <si>
    <t>950906</t>
  </si>
  <si>
    <t>951214</t>
  </si>
  <si>
    <t>960222</t>
  </si>
  <si>
    <t>950512</t>
  </si>
  <si>
    <t>951113</t>
  </si>
  <si>
    <t>950911</t>
  </si>
  <si>
    <t>930810</t>
  </si>
  <si>
    <t>940211</t>
  </si>
  <si>
    <t>960808</t>
  </si>
  <si>
    <t>940710</t>
  </si>
  <si>
    <t>940504</t>
  </si>
  <si>
    <t>951011</t>
  </si>
  <si>
    <t>940314</t>
  </si>
  <si>
    <t>941021</t>
  </si>
  <si>
    <t>950913</t>
  </si>
  <si>
    <t>960528</t>
  </si>
  <si>
    <t>950817</t>
  </si>
  <si>
    <t>950806</t>
  </si>
  <si>
    <t>940206</t>
  </si>
  <si>
    <t>960923</t>
  </si>
  <si>
    <t>960524</t>
  </si>
  <si>
    <t>970129</t>
  </si>
  <si>
    <t>960617</t>
  </si>
  <si>
    <t>960529</t>
  </si>
  <si>
    <t>960405</t>
  </si>
  <si>
    <t>960425</t>
  </si>
  <si>
    <t>960622</t>
  </si>
  <si>
    <t>960105</t>
  </si>
  <si>
    <t>960203</t>
  </si>
  <si>
    <t>960711</t>
  </si>
  <si>
    <t>941109</t>
  </si>
  <si>
    <t>960715</t>
  </si>
  <si>
    <t>940818</t>
  </si>
  <si>
    <t>960319</t>
  </si>
  <si>
    <t>951029</t>
  </si>
  <si>
    <t>961010</t>
  </si>
  <si>
    <t>930223</t>
  </si>
  <si>
    <t>960219</t>
  </si>
  <si>
    <t>950104</t>
  </si>
  <si>
    <t>970301</t>
  </si>
  <si>
    <t>960829</t>
  </si>
  <si>
    <t>970321</t>
  </si>
  <si>
    <t>960912</t>
  </si>
  <si>
    <t>970109</t>
  </si>
  <si>
    <t>960731</t>
  </si>
  <si>
    <t>961011</t>
  </si>
  <si>
    <t>960519</t>
  </si>
  <si>
    <t>970215</t>
  </si>
  <si>
    <t>941223</t>
  </si>
  <si>
    <t>950211</t>
  </si>
  <si>
    <t>950305</t>
  </si>
  <si>
    <t>961116</t>
  </si>
  <si>
    <t>950223</t>
  </si>
  <si>
    <t>松江工業高等専門学校</t>
  </si>
  <si>
    <t>岡﨑　友聖</t>
  </si>
  <si>
    <t>ｵｶｻﾞｷ ﾄﾓｻﾄ</t>
  </si>
  <si>
    <t>黒田　圭亮</t>
  </si>
  <si>
    <t>ｸﾛﾀﾞ ｹｲｽｹ</t>
  </si>
  <si>
    <t>小山　友貴</t>
  </si>
  <si>
    <t>ｺﾔﾏ ﾕｳｷ</t>
  </si>
  <si>
    <t>井上　幸輝</t>
  </si>
  <si>
    <t>ｲﾉｳｴ ｺｳｷ</t>
  </si>
  <si>
    <t>串崎　隼人</t>
  </si>
  <si>
    <t>ｸｼｻﾞｷ ﾊﾔﾄ</t>
  </si>
  <si>
    <t>田中　大地</t>
  </si>
  <si>
    <t>ﾀﾅｶ ﾀﾞｲﾁ</t>
  </si>
  <si>
    <t>長谷川　雅人</t>
  </si>
  <si>
    <t>ﾊｾｶﾞﾜ ﾏｻﾄ</t>
  </si>
  <si>
    <t>山田　将大</t>
  </si>
  <si>
    <t>徳島文理大学</t>
  </si>
  <si>
    <t>品田　直毅</t>
  </si>
  <si>
    <t>ｼﾅﾀﾞ ﾅｵｷ</t>
  </si>
  <si>
    <t>椢原　功輝</t>
  </si>
  <si>
    <t>ｸﾆﾊﾗ ｺｳｷ</t>
  </si>
  <si>
    <t>辻　敦矢</t>
  </si>
  <si>
    <t>ﾂｼﾞ ｱﾂﾔ</t>
  </si>
  <si>
    <t>小川　翼</t>
  </si>
  <si>
    <t>ｵｶﾞﾜ ﾂﾊﾞｻ</t>
  </si>
  <si>
    <t>橋本　拓也</t>
  </si>
  <si>
    <t>ﾊｼﾓﾄ ﾀｸﾔ</t>
  </si>
  <si>
    <t>広島市立大学</t>
  </si>
  <si>
    <t>竹内　遼平</t>
  </si>
  <si>
    <t>ﾀｹｳﾁ ﾘｮｳﾍｲ</t>
  </si>
  <si>
    <t>節家　淳</t>
  </si>
  <si>
    <t>ｾﾂｲｴ ｱﾂｼ</t>
  </si>
  <si>
    <t>礒村　智将</t>
  </si>
  <si>
    <t>ｲｿﾑﾗ ﾄﾓﾕｷ</t>
  </si>
  <si>
    <t>荒瀬　郁実</t>
  </si>
  <si>
    <t>ｱﾗｾ ｲｸﾐ</t>
  </si>
  <si>
    <t>竹田　祐輔</t>
  </si>
  <si>
    <t>ﾀｹﾀﾞ ﾕｳｽｹ</t>
  </si>
  <si>
    <t>冨永　隆太</t>
  </si>
  <si>
    <t>ﾄﾐﾅｶﾞ ﾘｭｳﾀ</t>
  </si>
  <si>
    <t>伊達　佑希</t>
  </si>
  <si>
    <t>ﾀﾞﾃ ﾕｳｷ</t>
  </si>
  <si>
    <t>節家　将</t>
  </si>
  <si>
    <t>ｾﾂｲｴ ﾏｻﾙ</t>
  </si>
  <si>
    <t>浜本　健太</t>
  </si>
  <si>
    <t>ﾊﾏﾓﾄ ｹﾝﾀ</t>
  </si>
  <si>
    <t>杉原　聖信</t>
  </si>
  <si>
    <t>ｽｷﾞﾊﾗ ｷﾖﾉﾌﾞ</t>
  </si>
  <si>
    <t>吉田　聖司</t>
  </si>
  <si>
    <t>ﾖｼﾀﾞ ｾｲｼﾞ</t>
  </si>
  <si>
    <t>原　智裕</t>
  </si>
  <si>
    <t>ﾊﾗ ﾄﾓﾋﾛ</t>
  </si>
  <si>
    <t>川崎医科大学</t>
  </si>
  <si>
    <t>日高　雅夫</t>
  </si>
  <si>
    <t>ﾋﾀﾞｶ ﾏｻｵ</t>
  </si>
  <si>
    <t>石田　雄大</t>
  </si>
  <si>
    <t>ｲｼﾀﾞ ﾕｳﾀ</t>
  </si>
  <si>
    <t>松田　旭生</t>
  </si>
  <si>
    <t>ﾏﾂﾀﾞ ｱｷｵ</t>
  </si>
  <si>
    <t>赤井　亮介</t>
  </si>
  <si>
    <t>ｱｶｲ ﾘｮｳｽｹ</t>
  </si>
  <si>
    <t>有井　淳</t>
  </si>
  <si>
    <t>ｱﾘｲ ｼﾞｭﾝ</t>
  </si>
  <si>
    <t>久野　直人</t>
  </si>
  <si>
    <t>ｸﾉ ﾅｵﾄ</t>
  </si>
  <si>
    <t>三田　晃裕</t>
  </si>
  <si>
    <t>ｻﾝﾀﾞ ｱｷﾋﾛ</t>
  </si>
  <si>
    <t>高山　泰武</t>
  </si>
  <si>
    <t>ﾀｶﾔﾏ ﾔｽﾀｹ</t>
  </si>
  <si>
    <t>宮地　敬弘</t>
  </si>
  <si>
    <t>ﾐﾔｼﾞ ﾀｶﾋﾛ</t>
  </si>
  <si>
    <t>小林　隆</t>
  </si>
  <si>
    <t>ｺﾊﾞﾔｼ ﾘｭｳ</t>
  </si>
  <si>
    <t>砂田　有哉</t>
  </si>
  <si>
    <t>ｽﾅﾀﾞ ﾕｳｽｹ</t>
  </si>
  <si>
    <t>福西　慧</t>
  </si>
  <si>
    <t>ﾌｸﾆｼ ｹｲ</t>
  </si>
  <si>
    <t>仲地　馨</t>
  </si>
  <si>
    <t>ﾅｶﾁ ｶｵﾙ</t>
  </si>
  <si>
    <t>田嶋　展明</t>
  </si>
  <si>
    <t>ﾀｼﾞﾏ ﾉﾌﾞｱｷ</t>
  </si>
  <si>
    <t>後藤　信太郎</t>
  </si>
  <si>
    <t>ｺﾞﾄｳ ｼﾝﾀﾛｳ</t>
  </si>
  <si>
    <t>水産大学校</t>
  </si>
  <si>
    <t>髙橋　航平</t>
  </si>
  <si>
    <t>ﾀｶﾊｼ ｺｳﾍｲ</t>
  </si>
  <si>
    <t>磯本　旭良</t>
  </si>
  <si>
    <t>ｲｿﾓﾄ ｱｷﾌﾐ</t>
  </si>
  <si>
    <t>重永　航平</t>
  </si>
  <si>
    <t>ｼｹﾞﾅｶﾞ ｺｳﾍｲ</t>
  </si>
  <si>
    <t>奥山　修杜</t>
  </si>
  <si>
    <t>ｵｸﾔﾏ ﾅｵﾄ</t>
  </si>
  <si>
    <t>田中　幸宏</t>
  </si>
  <si>
    <t>ﾀﾅｶ ﾕｷﾋﾛ</t>
  </si>
  <si>
    <t>本野　智之</t>
  </si>
  <si>
    <t>ﾓﾄﾉ ﾄｼﾕｷ</t>
  </si>
  <si>
    <t>井本　有紀</t>
  </si>
  <si>
    <t>ｲﾓﾄ ﾕｳｷ</t>
  </si>
  <si>
    <t>花田　泰司</t>
  </si>
  <si>
    <t>ﾊﾅﾀﾞ ﾀｲｼﾞ</t>
  </si>
  <si>
    <t>横田　峻</t>
  </si>
  <si>
    <t>ﾖｺﾀ ｼｭﾝ</t>
  </si>
  <si>
    <t>川端　一生</t>
  </si>
  <si>
    <t>ｶﾜﾊﾞﾀ ｶｽﾞｷ</t>
  </si>
  <si>
    <t>池本　嵩洋</t>
  </si>
  <si>
    <t>ｲｹﾓﾄ ﾀｶﾋﾛ</t>
  </si>
  <si>
    <t>平山　智加良</t>
  </si>
  <si>
    <t>ﾋﾗﾔﾏ ﾁｶﾗ</t>
  </si>
  <si>
    <t>南　健作</t>
  </si>
  <si>
    <t>ﾐﾅﾐ ｹﾝｻｸ</t>
  </si>
  <si>
    <t>狭間　陽太</t>
  </si>
  <si>
    <t>ﾊｻﾞﾏ ﾖｳﾀ</t>
  </si>
  <si>
    <t>島根大学</t>
  </si>
  <si>
    <t>勝部　悠介</t>
  </si>
  <si>
    <t>ｶﾂﾍﾞ ﾕｳｽｹ</t>
  </si>
  <si>
    <t>神田　健介</t>
  </si>
  <si>
    <t>ｶﾝﾀﾞ ｹﾝｽｹ</t>
  </si>
  <si>
    <t>小浦　心充</t>
  </si>
  <si>
    <t>ｺｳﾗ ﾑﾈﾐﾂ</t>
  </si>
  <si>
    <t>佐桒　聖司</t>
  </si>
  <si>
    <t>ｻｸﾜ ｾｲｼﾞ</t>
  </si>
  <si>
    <t>竹内　満</t>
  </si>
  <si>
    <t>ﾀｹｳﾁ ﾐﾁﾙ</t>
  </si>
  <si>
    <t>森脇　裕史</t>
  </si>
  <si>
    <t>ﾓﾘﾜｷ ﾋﾛｼ</t>
  </si>
  <si>
    <t>飯田　雅也</t>
  </si>
  <si>
    <t>ｲｲﾀﾞ ﾏｻﾔ</t>
  </si>
  <si>
    <t>小田　紘己</t>
  </si>
  <si>
    <t>ｵﾀﾞ ｺｳｷ</t>
  </si>
  <si>
    <t>木本　知寛</t>
  </si>
  <si>
    <t>ｷﾓﾄ ﾄﾓﾋﾛ</t>
  </si>
  <si>
    <t>坂本　光規</t>
  </si>
  <si>
    <t>ｻｶﾓﾄ ﾐﾂﾉﾘ</t>
  </si>
  <si>
    <t>西村　貴博</t>
  </si>
  <si>
    <t>ﾆｼﾑﾗ ﾀｶﾋﾛ</t>
  </si>
  <si>
    <t>松本　啓</t>
  </si>
  <si>
    <t>ﾏﾂﾓﾄ ｻﾄｼ</t>
  </si>
  <si>
    <t>森　知幸</t>
  </si>
  <si>
    <t>ﾓﾘ ﾄﾓﾕｷ</t>
  </si>
  <si>
    <t>梅木　雅矢</t>
  </si>
  <si>
    <t>ｳﾒｷ ﾏｻﾔ</t>
  </si>
  <si>
    <t>大谷　祐貴</t>
  </si>
  <si>
    <t>ｵｵﾀﾆ ﾕｳｷ</t>
  </si>
  <si>
    <t>金山　周平</t>
  </si>
  <si>
    <t>ｶﾅﾔﾏ ｼｭｳﾍｲ</t>
  </si>
  <si>
    <t>北﨑　拓哉</t>
  </si>
  <si>
    <t>ｷﾀｻﾞｷ ﾀｸﾔ</t>
  </si>
  <si>
    <t>小加本　裕真</t>
  </si>
  <si>
    <t>ｺｶﾞﾓﾄ ﾕｳﾏ</t>
  </si>
  <si>
    <t>清水　昂志</t>
  </si>
  <si>
    <t>ｼﾐｽﾞ ﾀｶｼ</t>
  </si>
  <si>
    <t>白岡　勇祐</t>
  </si>
  <si>
    <t>ｼﾗｵｶ ﾕｳｽｹ</t>
  </si>
  <si>
    <t>菅井　雄生</t>
  </si>
  <si>
    <t>ｽｶﾞｲ ﾕｳｾｲ</t>
  </si>
  <si>
    <t>田中　智久</t>
  </si>
  <si>
    <t>ﾀﾅｶ ﾄﾓﾋｻ</t>
  </si>
  <si>
    <t>永井　雄</t>
  </si>
  <si>
    <t>ﾅｶﾞｲ ﾕｳ</t>
  </si>
  <si>
    <t>福田　和司</t>
  </si>
  <si>
    <t>ﾌｸﾀﾞ ｶｽﾞｼ</t>
  </si>
  <si>
    <t>舩木　健二</t>
  </si>
  <si>
    <t>ﾌﾅｷ ｹﾝｼﾞ</t>
  </si>
  <si>
    <t>松原　成久</t>
  </si>
  <si>
    <t>ﾏﾂﾊﾞﾗ ﾅﾙﾋｻ</t>
  </si>
  <si>
    <t>山田　真輝</t>
  </si>
  <si>
    <t>ﾔﾏﾀﾞ ﾏｻｷ</t>
  </si>
  <si>
    <t>吉田　海佑</t>
  </si>
  <si>
    <t>ﾖｼﾀﾞ ｶｲﾕｳ</t>
  </si>
  <si>
    <t>倉敷芸術科学大学</t>
  </si>
  <si>
    <t>神田　明典</t>
  </si>
  <si>
    <t>ｶﾝﾀﾞ ｱｷﾉﾘ</t>
  </si>
  <si>
    <t>山本　真孝</t>
  </si>
  <si>
    <t>ﾔﾏﾓﾄ ﾏｻﾀｶ</t>
  </si>
  <si>
    <t>岩井　大輝</t>
  </si>
  <si>
    <t>ｲﾜｲ ﾀﾞｲｷ</t>
  </si>
  <si>
    <t>中西　浩希</t>
  </si>
  <si>
    <t>平松　祐介</t>
  </si>
  <si>
    <t>ﾋﾗﾏﾂ ﾕｳｽｹ</t>
  </si>
  <si>
    <t>守谷　章</t>
  </si>
  <si>
    <t>ﾓﾘﾀﾆ ｱｷﾗ</t>
  </si>
  <si>
    <t>弓削商船高等専門学校</t>
  </si>
  <si>
    <t>岡崎　偲紋</t>
  </si>
  <si>
    <t>ｵｶｻﾞｷ ｼﾓﾝ</t>
  </si>
  <si>
    <t>荒川　有一郎</t>
  </si>
  <si>
    <t>ｱﾗｶﾜ ﾕｳｲﾁﾛｳ</t>
  </si>
  <si>
    <t>坂田　陽助</t>
  </si>
  <si>
    <t>ｻｶﾀ ﾖｳｽｹ</t>
  </si>
  <si>
    <t>中村　龍晟</t>
  </si>
  <si>
    <t>ﾅｶﾑﾗ ﾘｭｳｾｲ</t>
  </si>
  <si>
    <t>薬師寺　亜澄</t>
  </si>
  <si>
    <t>ﾔｸｼｼﾞ ｱｽﾞﾐ</t>
  </si>
  <si>
    <t>広島工業大学</t>
  </si>
  <si>
    <t>波多野　幹也</t>
  </si>
  <si>
    <t>ﾊﾀﾞﾉ ﾐｷﾔ</t>
  </si>
  <si>
    <t>千歳　直哉</t>
  </si>
  <si>
    <t>ﾁﾄｾ ﾅｵﾔ</t>
  </si>
  <si>
    <t>加納　慎司</t>
  </si>
  <si>
    <t>ｶﾉｳ ｼﾝｼﾞ</t>
  </si>
  <si>
    <t>村上　清英</t>
  </si>
  <si>
    <t>ﾑﾗｶﾐ ｷﾖﾋﾃﾞ</t>
  </si>
  <si>
    <t>山手　滉</t>
  </si>
  <si>
    <t>ﾔﾏﾃ ﾋﾛｼ</t>
  </si>
  <si>
    <t>竹本　宏朗</t>
  </si>
  <si>
    <t>ﾀｹﾓﾄ ﾋﾛｱｷ</t>
  </si>
  <si>
    <t>小勝負　功希</t>
  </si>
  <si>
    <t>ｺｼｮｳﾌﾞ ｺｳｷ</t>
  </si>
  <si>
    <t>渡辺　悠太郎</t>
  </si>
  <si>
    <t>ﾜﾀﾅﾍﾞ ﾕｳﾀﾛｳ</t>
  </si>
  <si>
    <t>樽山　洋樹</t>
  </si>
  <si>
    <t>ﾀﾙﾔﾏ ﾋﾛｷ</t>
  </si>
  <si>
    <t>吉本　侑生</t>
  </si>
  <si>
    <t>ﾖｼﾓﾄ ﾕｳｷ</t>
  </si>
  <si>
    <t>三浦　太一</t>
  </si>
  <si>
    <t>ﾐｳﾗ ﾀｲﾁ</t>
  </si>
  <si>
    <t>山本　竜二</t>
  </si>
  <si>
    <t>ﾔﾏﾓﾄ ﾘｭｳｼﾞ</t>
  </si>
  <si>
    <t>市場　輝</t>
  </si>
  <si>
    <t>ｲﾁﾊﾞ ｱｷﾗ</t>
  </si>
  <si>
    <t>堤本　紘平</t>
  </si>
  <si>
    <t>ﾂﾂﾐﾓﾄ ｺｳﾍｲ</t>
  </si>
  <si>
    <t>石井　琢朗</t>
  </si>
  <si>
    <t>ｲｼｲ ﾀｸﾛｳ</t>
  </si>
  <si>
    <t>佐々岡　一興</t>
  </si>
  <si>
    <t>ｻｻｵｶ ｶｽﾞｵｷ</t>
  </si>
  <si>
    <t>加澤　達哉</t>
  </si>
  <si>
    <t>ｶｻﾞﾜ ﾀﾂﾔ</t>
  </si>
  <si>
    <t>斎藤　良平</t>
  </si>
  <si>
    <t>ｻｲﾄｳ ﾘｮｳﾍｲ</t>
  </si>
  <si>
    <t>増本　拓磨</t>
  </si>
  <si>
    <t>ﾏｽﾓﾄ ﾀｸﾏ</t>
  </si>
  <si>
    <t>森口　大毅</t>
  </si>
  <si>
    <t>ﾓﾘｸﾞﾁ ﾀﾞｲｷ</t>
  </si>
  <si>
    <t>大湾　翔平</t>
  </si>
  <si>
    <t>ｵｵﾜﾝ ｼｮｳﾍｲ</t>
  </si>
  <si>
    <t>川畑　輝起</t>
  </si>
  <si>
    <t>ｶﾜﾊﾞﾀ ﾃﾙｷ</t>
  </si>
  <si>
    <t>岡山商科大学</t>
  </si>
  <si>
    <t>香川　雅人</t>
  </si>
  <si>
    <t>ｶｶﾞﾜ ﾏｻﾄ</t>
  </si>
  <si>
    <t>今井　翔吾</t>
  </si>
  <si>
    <t>ｲﾏｲ ｼｮｳｺﾞ</t>
  </si>
  <si>
    <t>平棟　健</t>
  </si>
  <si>
    <t>ﾋﾗﾑﾈ ﾀﾂﾙ</t>
  </si>
  <si>
    <t>石橋　健</t>
  </si>
  <si>
    <t>ｲｼﾊﾞｼ ｹﾝ</t>
  </si>
  <si>
    <t>林　高純</t>
  </si>
  <si>
    <t>ﾊﾔｼ ﾀｶｽﾞﾐ</t>
  </si>
  <si>
    <t>桑田　大貴</t>
  </si>
  <si>
    <t>ｸﾜﾀ ﾀﾞｲｷ</t>
  </si>
  <si>
    <t>胡麻本　将大</t>
  </si>
  <si>
    <t>ｺﾞﾏﾓﾄ ｼｮｳﾀ</t>
  </si>
  <si>
    <t>杉本　健太</t>
  </si>
  <si>
    <t>ｽｷﾞﾓﾄ ｹﾝﾀ</t>
  </si>
  <si>
    <t>岡　敦浩</t>
  </si>
  <si>
    <t>ｵｶ ｱﾂﾋﾛ</t>
  </si>
  <si>
    <t>永井　孝英</t>
  </si>
  <si>
    <t>ﾅｶﾞｲ ﾀｶﾋﾃﾞ</t>
  </si>
  <si>
    <t>太田　拓也</t>
  </si>
  <si>
    <t>ｵｵﾀ ﾀｸﾔ</t>
  </si>
  <si>
    <t>庄司　貴博</t>
  </si>
  <si>
    <t>ｼｮｳｼﾞ ﾀｶﾋﾛ</t>
  </si>
  <si>
    <t>村上　宗一郎</t>
  </si>
  <si>
    <t>ﾑﾗｶﾐ ｿｳｲﾁﾛｳ</t>
  </si>
  <si>
    <t>椙山　祥吏</t>
  </si>
  <si>
    <t>ｽｷﾞﾔﾏ ｼｮｳﾘ</t>
  </si>
  <si>
    <t>宮本　泰成</t>
  </si>
  <si>
    <t>ﾐﾔﾓﾄ ﾀｲｾｲ</t>
  </si>
  <si>
    <t>坪根　勇生</t>
  </si>
  <si>
    <t>ﾂﾎﾞﾈ ﾕｳｷ</t>
  </si>
  <si>
    <t>牛尾　貴明</t>
  </si>
  <si>
    <t>ｳｼｵ ﾀｶｱｷ</t>
  </si>
  <si>
    <t>大谷　龍矢</t>
  </si>
  <si>
    <t>ｵｵﾀﾆ ﾘｭｳﾔ</t>
  </si>
  <si>
    <t>井上　美勇</t>
  </si>
  <si>
    <t>ｲﾉｳｴ ﾐﾕｳ</t>
  </si>
  <si>
    <t>古志　元希</t>
  </si>
  <si>
    <t>ｺｼ ｹﾞﾝｷ</t>
  </si>
  <si>
    <t>木村　彰惟</t>
  </si>
  <si>
    <t>ｷﾑﾗ ｼｮｳｲ</t>
  </si>
  <si>
    <t>佐久間　裕也</t>
  </si>
  <si>
    <t>ｻｸﾏ ﾕｳﾔ</t>
  </si>
  <si>
    <t>中村　大輔</t>
  </si>
  <si>
    <t>ﾅｶﾑﾗ ﾀﾞｲｽｹ</t>
  </si>
  <si>
    <t>坂野　亮次</t>
  </si>
  <si>
    <t>ｻｶﾉ ﾘｮｳｼﾞ</t>
  </si>
  <si>
    <t>田中　智大</t>
  </si>
  <si>
    <t>ﾀﾅｶ ﾄﾓﾋﾛ</t>
  </si>
  <si>
    <t>曽我部　亮</t>
  </si>
  <si>
    <t>ｿｶﾞﾍﾞ ﾘｮｳ</t>
  </si>
  <si>
    <t>吉本　涼人</t>
  </si>
  <si>
    <t>ﾖｼﾓﾄ ﾘｮｳﾄ</t>
  </si>
  <si>
    <t>柏　和輝</t>
  </si>
  <si>
    <t>ｶｼﾜ ｶｽﾞｷ</t>
  </si>
  <si>
    <t>秦泉寺　慎太郎</t>
  </si>
  <si>
    <t>ｼﾞﾝｾﾞﾝｼﾞ ｼﾝﾀﾛｳ</t>
  </si>
  <si>
    <t>近藤　翔太</t>
  </si>
  <si>
    <t>ｺﾝﾄﾞｳ ｼｮｳﾀ</t>
  </si>
  <si>
    <t>松井　拓人</t>
  </si>
  <si>
    <t>ﾏﾂｲ ﾀｸﾄ</t>
  </si>
  <si>
    <t>徳山大学</t>
  </si>
  <si>
    <t>上甲　涼平</t>
  </si>
  <si>
    <t>ｼﾞｮｳｺｳ ﾘｮｳﾍｲ</t>
  </si>
  <si>
    <t>富山　樹</t>
  </si>
  <si>
    <t>ﾄﾐﾔﾏ ﾀﾂｷ</t>
  </si>
  <si>
    <t>中川　拓也</t>
  </si>
  <si>
    <t>ﾅｶｶﾞﾜ ﾀｸﾔ</t>
  </si>
  <si>
    <t>家入　仁志</t>
  </si>
  <si>
    <t>ｲｴｲﾘ ﾋﾄｼ</t>
  </si>
  <si>
    <t>井口　遼亮</t>
  </si>
  <si>
    <t>ｲｸﾞﾁ ﾘｮｳｽｹ</t>
  </si>
  <si>
    <t>猪野　太雅</t>
  </si>
  <si>
    <t>ｲﾉ ﾀｲｶﾞ</t>
  </si>
  <si>
    <t>井上　修汰</t>
  </si>
  <si>
    <t>ｲﾉｳｴ ｼｭｳﾀ</t>
  </si>
  <si>
    <t>大住　京平</t>
  </si>
  <si>
    <t>ｵｵｽﾐ ｷｮｳﾍｲ</t>
  </si>
  <si>
    <t>川口　侑臣</t>
  </si>
  <si>
    <t>ｶﾜｸﾞﾁ ﾕｳｼﾝ</t>
  </si>
  <si>
    <t>小屋　勇太</t>
  </si>
  <si>
    <t>ｺﾔ ﾕｳﾀ</t>
  </si>
  <si>
    <t>杉島　祐太</t>
  </si>
  <si>
    <t>ｽｷﾞｼﾏ ﾕｳﾀ</t>
  </si>
  <si>
    <t>平　将大</t>
  </si>
  <si>
    <t>ﾀｲﾗ ｼｮｳﾀﾞｲ</t>
  </si>
  <si>
    <t>橋渡　直樹</t>
  </si>
  <si>
    <t>ﾊｼﾜﾀﾘ ﾅｵｷ</t>
  </si>
  <si>
    <t>廣江　憲世</t>
  </si>
  <si>
    <t>ﾋﾛｴ ｹﾝｾｲ</t>
  </si>
  <si>
    <t>藤井　宏樹</t>
  </si>
  <si>
    <t>ﾌｼﾞｲ ﾋﾛｷ</t>
  </si>
  <si>
    <t>藤野　雄基</t>
  </si>
  <si>
    <t>ﾌｼﾞﾉ ﾕｳｷ</t>
  </si>
  <si>
    <t>本部　晃司</t>
  </si>
  <si>
    <t>ﾎﾝﾌﾞ ｺｳｼﾞ</t>
  </si>
  <si>
    <t>中尾　渉</t>
  </si>
  <si>
    <t>ﾅｶｵ ｼｮｳ</t>
  </si>
  <si>
    <t>西田　光</t>
  </si>
  <si>
    <t>ﾆｼﾀﾞ ﾋｶﾙ</t>
  </si>
  <si>
    <t>森川　慶一</t>
  </si>
  <si>
    <t>ﾓﾘｶﾜ ｹｲｲﾁ</t>
  </si>
  <si>
    <t>山下　大輝</t>
  </si>
  <si>
    <t>ﾔﾏｼﾀ ﾋﾛｷ</t>
  </si>
  <si>
    <t>池田　堅哉</t>
  </si>
  <si>
    <t>ｲｹﾀﾞ ｹﾝﾔ</t>
  </si>
  <si>
    <t>呉　琉宇</t>
  </si>
  <si>
    <t>ｵｳ ﾘｭｳ</t>
  </si>
  <si>
    <t>桑代　啓太</t>
  </si>
  <si>
    <t>ｸﾜｼﾛ ｹｲﾀ</t>
  </si>
  <si>
    <t>高千穂　聡史</t>
  </si>
  <si>
    <t>ﾀｶﾁﾎ ｻﾄｼ</t>
  </si>
  <si>
    <t>永田　和也</t>
  </si>
  <si>
    <t>ﾅｶﾞﾀ ｶｽﾞﾔ</t>
  </si>
  <si>
    <t>西岡　優樹</t>
  </si>
  <si>
    <t>ﾆｼｵｶ ﾕｳｷ</t>
  </si>
  <si>
    <t>橋満　雪久</t>
  </si>
  <si>
    <t>ﾊｼﾐﾂ ﾕｷﾋｻ</t>
  </si>
  <si>
    <t>浜崎　友輔</t>
  </si>
  <si>
    <t>ﾊﾏｻｷ ﾕｳｽｹ</t>
  </si>
  <si>
    <t>山下　遼</t>
  </si>
  <si>
    <t>ﾔﾏｼﾀ ﾘｮｳ</t>
  </si>
  <si>
    <t>山口大学</t>
  </si>
  <si>
    <t>山口　量皓</t>
  </si>
  <si>
    <t>ﾔﾏｸﾞﾁ ｶｽﾞﾋﾛ</t>
  </si>
  <si>
    <t>野村　直己</t>
  </si>
  <si>
    <t>ﾉﾑﾗ ﾅｵｷ</t>
  </si>
  <si>
    <t>石川　暢峻</t>
  </si>
  <si>
    <t>ｲｼｶﾜ ﾉﾌﾞﾀｶ</t>
  </si>
  <si>
    <t>池崎　和海</t>
  </si>
  <si>
    <t>ｲｹｻﾞｷ ｶｽﾞﾐ</t>
  </si>
  <si>
    <t>田中　博</t>
  </si>
  <si>
    <t>ﾀﾅｶ ﾋﾛｼ</t>
  </si>
  <si>
    <t>渡嘉敷　海斗</t>
  </si>
  <si>
    <t>ﾄｶｼｷ ｶｲﾄ</t>
  </si>
  <si>
    <t>佐藤　達樹</t>
  </si>
  <si>
    <t>ｻﾄｳ ﾀﾂｷ</t>
  </si>
  <si>
    <t>樫部　直人</t>
  </si>
  <si>
    <t>ｶｼﾍﾞ ﾅｵﾄ</t>
  </si>
  <si>
    <t>髙見　雄飛</t>
  </si>
  <si>
    <t>ﾀｶﾐ ﾕｳﾋ</t>
  </si>
  <si>
    <t>高森　暁</t>
  </si>
  <si>
    <t>ﾀｶﾓﾘ ｻﾄﾙ</t>
  </si>
  <si>
    <t>川村　透</t>
  </si>
  <si>
    <t>ｶﾜﾑﾗ ﾄｵﾙ</t>
  </si>
  <si>
    <t>原田　大輝</t>
  </si>
  <si>
    <t>ﾊﾗﾀﾞ ﾀﾞｲｷ</t>
  </si>
  <si>
    <t>松本　光司</t>
  </si>
  <si>
    <t>ﾏﾂﾓﾄ ｺｳｼﾞ</t>
  </si>
  <si>
    <t>倉田　京右</t>
  </si>
  <si>
    <t>ｸﾗﾀ ｷｮｳｽｹ</t>
  </si>
  <si>
    <t>谷口　大騎</t>
  </si>
  <si>
    <t>ﾀﾆｸﾞﾁ ﾀﾞｲｷ</t>
  </si>
  <si>
    <t>福山大学</t>
  </si>
  <si>
    <t>大野　真寛</t>
  </si>
  <si>
    <t>ｵｵﾉ ﾏｻﾋﾛ</t>
  </si>
  <si>
    <t>清家　将徳</t>
  </si>
  <si>
    <t>ｾｲｹ ﾏｻﾉﾘ</t>
  </si>
  <si>
    <t>中村　祐希</t>
  </si>
  <si>
    <t>ﾅｶﾑﾗ ﾕｳｷ</t>
  </si>
  <si>
    <t>村田　浪輝</t>
  </si>
  <si>
    <t>ﾑﾗﾀ ﾅﾐｷ</t>
  </si>
  <si>
    <t>高田　茂樹</t>
  </si>
  <si>
    <t>ﾀｶﾀﾞ ｼｹﾞｷ</t>
  </si>
  <si>
    <t>大畠　直人</t>
  </si>
  <si>
    <t>ｵｵﾊﾀ ﾅｵﾄ</t>
  </si>
  <si>
    <t>佐佐木　裕大</t>
  </si>
  <si>
    <t>ｻｻｷ ﾕｳﾀﾞｲ</t>
  </si>
  <si>
    <t>武田　佳士</t>
  </si>
  <si>
    <t>ﾀｹﾀﾞ ｹｲｼ</t>
  </si>
  <si>
    <t>宮沢　将幸</t>
  </si>
  <si>
    <t>ﾐﾔｻﾞﾜ ﾏｻﾕｷ</t>
  </si>
  <si>
    <t>広島国際大学</t>
  </si>
  <si>
    <t>依藤　周</t>
  </si>
  <si>
    <t>ﾖﾘﾌｼﾞ ｼｭｳ</t>
  </si>
  <si>
    <t>広島大学</t>
  </si>
  <si>
    <t>足立　達也</t>
  </si>
  <si>
    <t>ｱﾀﾞﾁ ﾀﾂﾔ</t>
  </si>
  <si>
    <t>橋口　幸貴</t>
  </si>
  <si>
    <t>ﾊｼｸﾞﾁ ｺｳｷ</t>
  </si>
  <si>
    <t>橋本　直之</t>
  </si>
  <si>
    <t>ﾊｼﾓﾄ ﾅｵﾕｷ</t>
  </si>
  <si>
    <t>肥後　翔太</t>
  </si>
  <si>
    <t>ﾋｺﾞ ｼｮｳﾀ</t>
  </si>
  <si>
    <t>松本　茂</t>
  </si>
  <si>
    <t>ﾏﾂﾓﾄ ｼｹﾞﾙ</t>
  </si>
  <si>
    <t>佐々木　徹</t>
  </si>
  <si>
    <t>ｻｻｷ ﾄｵﾙ</t>
  </si>
  <si>
    <t>佐藤　匠</t>
  </si>
  <si>
    <t>ｻﾄｳ ﾀｸﾐ</t>
  </si>
  <si>
    <t>堂脇　康平</t>
  </si>
  <si>
    <t>ﾄﾞｳﾜｷ ｺｳﾍｲ</t>
  </si>
  <si>
    <t>林　雅人</t>
  </si>
  <si>
    <t>ﾊﾔｼ ﾏｻﾄ</t>
  </si>
  <si>
    <t>山本　和毅</t>
  </si>
  <si>
    <t>ﾔﾏﾓﾄ ｶｽﾞｷ</t>
  </si>
  <si>
    <t>荻野　龍平</t>
  </si>
  <si>
    <t>ｵｷﾞﾉ ﾘｮｳﾍｲ</t>
  </si>
  <si>
    <t>赤瀬　文章</t>
  </si>
  <si>
    <t>ｱｶｾ ﾌﾐｱｷ</t>
  </si>
  <si>
    <t>池田　昂輝</t>
  </si>
  <si>
    <t>ｲｹﾀﾞ ｺｳｷ</t>
  </si>
  <si>
    <t>上田　貢</t>
  </si>
  <si>
    <t>ｳｴﾀﾞ ﾐﾂｸﾞ</t>
  </si>
  <si>
    <t>尾﨑　雄祐</t>
  </si>
  <si>
    <t>ｵｻﾞｷ ﾕｳｽｹ</t>
  </si>
  <si>
    <t>坂井　駿介</t>
  </si>
  <si>
    <t>ｻｶｲ ｼｭﾝｽｹ</t>
  </si>
  <si>
    <t>城　栄作</t>
  </si>
  <si>
    <t>ｼﾞｮｳ ｴｲｻｸ</t>
  </si>
  <si>
    <t>早川　智</t>
  </si>
  <si>
    <t>ﾊﾔｶﾜ ｻﾄｼ</t>
  </si>
  <si>
    <t>林　憲治</t>
  </si>
  <si>
    <t>ﾊﾔｼ ｹﾝｼﾞ</t>
  </si>
  <si>
    <t>福島　正典</t>
  </si>
  <si>
    <t>ﾌｸｼﾏ ﾏｻﾉﾘ</t>
  </si>
  <si>
    <t>藤野　航</t>
  </si>
  <si>
    <t>ﾌｼﾞﾉ ﾜﾀﾙ</t>
  </si>
  <si>
    <t>森田　裕介</t>
  </si>
  <si>
    <t>ﾓﾘﾀ ﾕｳｽｹ</t>
  </si>
  <si>
    <t>守屋　智裕</t>
  </si>
  <si>
    <t>ﾓﾘﾔ ﾄﾓﾋﾛ</t>
  </si>
  <si>
    <t>森山　領次</t>
  </si>
  <si>
    <t>ﾓﾘﾔﾏ ﾘｮｳｼﾞ</t>
  </si>
  <si>
    <t>八木　壮平</t>
  </si>
  <si>
    <t>ﾔｷﾞ ｿｳﾍｲ</t>
  </si>
  <si>
    <t>山口　滉太</t>
  </si>
  <si>
    <t>ﾔﾏｸﾞﾁ ｺｳﾀ</t>
  </si>
  <si>
    <t>吉田　健作</t>
  </si>
  <si>
    <t>ﾖｼﾀﾞ ｹﾝｻｸ</t>
  </si>
  <si>
    <t>吉田　侑生</t>
  </si>
  <si>
    <t>ﾖｼﾀﾞ ﾕｳｾｲ</t>
  </si>
  <si>
    <t>米田　謙</t>
  </si>
  <si>
    <t>ﾖﾈﾀﾞ ｹﾝ</t>
  </si>
  <si>
    <t>大塚　康平</t>
  </si>
  <si>
    <t>ｵｵﾂｶ ｺｳﾍｲ</t>
  </si>
  <si>
    <t>春日井　貴英</t>
  </si>
  <si>
    <t>ｶｽｶﾞｲ ﾀｶﾋﾃﾞ</t>
  </si>
  <si>
    <t>金本　裕介</t>
  </si>
  <si>
    <t>ｶﾈﾓﾄ ﾕｳｽｹ</t>
  </si>
  <si>
    <t>川原　正大</t>
  </si>
  <si>
    <t>ｶﾜﾊﾗ ﾏｻﾋﾛ</t>
  </si>
  <si>
    <t>菊谷　和哉</t>
  </si>
  <si>
    <t>ｷｸﾀﾆ ｶｽﾞﾔ</t>
  </si>
  <si>
    <t>熊本　靖丈</t>
  </si>
  <si>
    <t>ｸﾏﾓﾄ ﾔｽﾋﾛ</t>
  </si>
  <si>
    <t>佐藤　走</t>
  </si>
  <si>
    <t>ｻﾄｳ ｶｹﾙ</t>
  </si>
  <si>
    <t>佐野　史弥</t>
  </si>
  <si>
    <t>ｻﾉ ﾌﾐﾔ</t>
  </si>
  <si>
    <t>下西　晃貴</t>
  </si>
  <si>
    <t>ｼﾓﾆｼ ｺｳｷ</t>
  </si>
  <si>
    <t>新宅　貴裕</t>
  </si>
  <si>
    <t>ｼﾝﾀｸ ﾀｶﾋﾛ</t>
  </si>
  <si>
    <t>新屋　壮朗</t>
  </si>
  <si>
    <t>ｼﾝﾔ ﾀｹｵ</t>
  </si>
  <si>
    <t>対馬　拓海</t>
  </si>
  <si>
    <t>ﾂｼﾏ ﾀｸﾐ</t>
  </si>
  <si>
    <t>坪井　晶広</t>
  </si>
  <si>
    <t>ﾂﾎﾞｲ ｱｷﾋﾛ</t>
  </si>
  <si>
    <t>豊永　紘典</t>
  </si>
  <si>
    <t>ﾄﾖﾅｶﾞ ﾋﾛﾉﾘ</t>
  </si>
  <si>
    <t>二俣　謙</t>
  </si>
  <si>
    <t>ﾆﾏﾀ ｹﾝ</t>
  </si>
  <si>
    <t>橋本　壮侍</t>
  </si>
  <si>
    <t>ﾊｼﾓﾄ ｿｳｼ</t>
  </si>
  <si>
    <t>細川　誠司</t>
  </si>
  <si>
    <t>ﾎｿｶﾜ ｾｲｼﾞ</t>
  </si>
  <si>
    <t>本荘　拓人</t>
  </si>
  <si>
    <t>ﾎﾝｼﾞｮｳ ﾀｸﾄ</t>
  </si>
  <si>
    <t>松浦　大樹</t>
  </si>
  <si>
    <t>ﾏﾂｳﾗ ﾀﾞｲｷ</t>
  </si>
  <si>
    <t>牟田　崇晃</t>
  </si>
  <si>
    <t>ﾑﾀ ﾀｶｱｷ</t>
  </si>
  <si>
    <t>山本　真史</t>
  </si>
  <si>
    <t>ﾔﾏﾓﾄ ｼﾝｼﾞ</t>
  </si>
  <si>
    <t>荒木　亮大</t>
  </si>
  <si>
    <t>ｱﾗｷ ｶﾂﾏｻ</t>
  </si>
  <si>
    <t>井野口　慎之輔</t>
  </si>
  <si>
    <t>ｲﾉｸﾁ ｼﾝﾉｽｹ</t>
  </si>
  <si>
    <t>岩田　啓佑</t>
  </si>
  <si>
    <t>ｲﾜﾀ ｹｲｽｹ</t>
  </si>
  <si>
    <t>上田　拓登</t>
  </si>
  <si>
    <t>ｳｴﾀﾞ ﾀｸﾄ</t>
  </si>
  <si>
    <t>大岩　眞太郎</t>
  </si>
  <si>
    <t>ｵｵｲﾜ ｼﾝﾀﾛｳ</t>
  </si>
  <si>
    <t>大田　耕平</t>
  </si>
  <si>
    <t>ｵｵﾀ ｺｳﾍｲ</t>
  </si>
  <si>
    <t>大畠　駿</t>
  </si>
  <si>
    <t>ｵｵﾊﾀ ｼｭﾝ</t>
  </si>
  <si>
    <t>大森　一磨</t>
  </si>
  <si>
    <t>ｵｵﾓﾘ ｶｽﾞﾏ</t>
  </si>
  <si>
    <t>岡田　直樹</t>
  </si>
  <si>
    <t>ｵｶﾀﾞ ﾅｵｷ</t>
  </si>
  <si>
    <t>梶原　周平</t>
  </si>
  <si>
    <t>ｶｼﾞﾜﾗ ｼｭｳﾍｲ</t>
  </si>
  <si>
    <t>金井　れもん</t>
  </si>
  <si>
    <t>ｶﾅｲ ﾚﾓﾝ</t>
  </si>
  <si>
    <t>北村　祐貴</t>
  </si>
  <si>
    <t>ｷﾀﾑﾗ ﾕｳｷ</t>
  </si>
  <si>
    <t>権出　憲一</t>
  </si>
  <si>
    <t>ｺﾞﾝﾃﾞ ｹﾝｲﾁ</t>
  </si>
  <si>
    <t>斉藤　汰知</t>
  </si>
  <si>
    <t>ｻｲﾄｳ ﾀｲﾁ</t>
  </si>
  <si>
    <t>戝間　悠大</t>
  </si>
  <si>
    <t>ｻﾞｲﾏ ﾕｳﾀﾞｲ</t>
  </si>
  <si>
    <t>白神　拓也</t>
  </si>
  <si>
    <t>ｼﾗｶﾞ ﾀｸﾔ</t>
  </si>
  <si>
    <t>千葉　雄太</t>
  </si>
  <si>
    <t>ﾁﾊﾞ ﾕｳﾀ</t>
  </si>
  <si>
    <t>永野　明宏</t>
  </si>
  <si>
    <t>ﾅｶﾞﾉ ｱｷﾋﾛ</t>
  </si>
  <si>
    <t>中山　太郎</t>
  </si>
  <si>
    <t>ﾅｶﾔﾏ ﾀﾛｳ</t>
  </si>
  <si>
    <t>成迫　大樹</t>
  </si>
  <si>
    <t>ﾅﾘｻｺ ﾀﾞｲｷ</t>
  </si>
  <si>
    <t>坂野　寛季</t>
  </si>
  <si>
    <t>ﾊﾞﾝﾉ ﾋﾛｷ</t>
  </si>
  <si>
    <t>廣田　高至</t>
  </si>
  <si>
    <t>ﾋﾛﾀ ﾀｶｼ</t>
  </si>
  <si>
    <t>細野　温広</t>
  </si>
  <si>
    <t>ﾎｿﾉ ｱﾂﾋﾛ</t>
  </si>
  <si>
    <t>松本　佑介</t>
  </si>
  <si>
    <t>ﾏﾂﾓﾄ ﾕｳｽｹ</t>
  </si>
  <si>
    <t>南　隆之介</t>
  </si>
  <si>
    <t>ﾐﾅﾐ ﾘｭｳﾉｽｹ</t>
  </si>
  <si>
    <t>牟田　圭司</t>
  </si>
  <si>
    <t>ﾑﾀ ｹｲｼ</t>
  </si>
  <si>
    <t>森田　和杜</t>
  </si>
  <si>
    <t>ﾓﾘﾀ ｶｽﾞﾄ</t>
  </si>
  <si>
    <t>吉村　善治</t>
  </si>
  <si>
    <t>ﾖｼﾑﾗ ﾖｼﾊﾙ</t>
  </si>
  <si>
    <t>渡邉　駿</t>
  </si>
  <si>
    <t>ﾜﾀﾅﾍﾞ ｼｭﾝ</t>
  </si>
  <si>
    <t>藤島　廉</t>
  </si>
  <si>
    <t>ﾌｼﾞｼﾏ ﾚﾝ</t>
  </si>
  <si>
    <t>伊崎 悠</t>
  </si>
  <si>
    <t>ｲｻﾞｷ ﾕｳ</t>
  </si>
  <si>
    <t>竹原 悠大</t>
  </si>
  <si>
    <t>ﾀｹﾊﾗ ﾕｳﾀﾞｲ</t>
  </si>
  <si>
    <t>津田 健人</t>
  </si>
  <si>
    <t>ﾂﾀﾞ ｹﾝﾄ</t>
  </si>
  <si>
    <t>松山 祥</t>
  </si>
  <si>
    <t>ﾏﾂﾔﾏ ｼｮｳ</t>
  </si>
  <si>
    <t>藤川 佳也</t>
  </si>
  <si>
    <t>ﾌｼﾞｶﾜ ﾖｼﾔ</t>
  </si>
  <si>
    <t>佐藤 央規</t>
  </si>
  <si>
    <t>武田 光司</t>
  </si>
  <si>
    <t>ﾀｹﾀﾞ ｺｳｼﾞ</t>
  </si>
  <si>
    <t>二宮 直紀</t>
  </si>
  <si>
    <t>ﾆﾉﾐﾔ ﾅｵｷ</t>
  </si>
  <si>
    <t>川上　航</t>
  </si>
  <si>
    <t>ｶﾜｶﾐ ﾜﾀﾙ</t>
  </si>
  <si>
    <t>北村　郁海</t>
  </si>
  <si>
    <t>ｷﾀﾑﾗ ｲｸﾐ</t>
  </si>
  <si>
    <t>林　修平</t>
  </si>
  <si>
    <t>ﾊﾔｼ ｼｭｳﾍｲ</t>
  </si>
  <si>
    <t>林野　健太</t>
  </si>
  <si>
    <t>ﾊﾔｼﾉ ｹﾝﾀ</t>
  </si>
  <si>
    <t>吉本　幸司</t>
  </si>
  <si>
    <t>ﾖｼﾓﾄ ｺｳｼﾞ</t>
  </si>
  <si>
    <t>安部　晃規</t>
  </si>
  <si>
    <t>ｱﾍﾞ ｱｷﾉﾘ</t>
  </si>
  <si>
    <t>馬越　建幸</t>
  </si>
  <si>
    <t>ｳﾏｺｼ ｹﾝｺｳ</t>
  </si>
  <si>
    <t>沖本　昂祐</t>
  </si>
  <si>
    <t>ｵｷﾓﾄ ｺｳｽｹ</t>
  </si>
  <si>
    <t>小原　優太</t>
  </si>
  <si>
    <t>ｵﾊﾞﾗ ﾕｳﾀ</t>
  </si>
  <si>
    <t>唐崎　航平</t>
  </si>
  <si>
    <t>ｶﾗｻｷ ｺｳﾍｲ</t>
  </si>
  <si>
    <t>川波　知裕</t>
  </si>
  <si>
    <t>ｶﾜﾅﾐ ﾄﾓﾋﾛ</t>
  </si>
  <si>
    <t>川西　康太</t>
  </si>
  <si>
    <t>ｶﾜﾆｼ ｺｳﾀ</t>
  </si>
  <si>
    <t>草野　雄祐</t>
  </si>
  <si>
    <t>ｸｻﾉ ﾕｳｽｹ</t>
  </si>
  <si>
    <t>田嶋　宏一郎</t>
  </si>
  <si>
    <t>ﾀｼﾞﾏ ｺｳｲﾁﾛｳ</t>
  </si>
  <si>
    <t>田中　基樹</t>
  </si>
  <si>
    <t>ﾀﾅｶ ﾓﾄｷ</t>
  </si>
  <si>
    <t>前田　文彬</t>
  </si>
  <si>
    <t>ﾏｴﾀﾞ ﾌﾐｱｷ</t>
  </si>
  <si>
    <t>梅原　壮太</t>
  </si>
  <si>
    <t>ｳﾒﾊﾗ ｿｳﾀ</t>
  </si>
  <si>
    <t>加藤　慶</t>
  </si>
  <si>
    <t>岸　泰正</t>
  </si>
  <si>
    <t>ｷｼ ﾔｽﾏｻ</t>
  </si>
  <si>
    <t>寺本　知生</t>
  </si>
  <si>
    <t>ﾃﾗﾓﾄ ﾄﾓｷ</t>
  </si>
  <si>
    <t>吉川　顕太</t>
  </si>
  <si>
    <t>ﾖｼｶﾜ ｹﾝﾀ</t>
  </si>
  <si>
    <t>広島商船高等専門学校</t>
  </si>
  <si>
    <t>小川　剣太郎</t>
  </si>
  <si>
    <t>ｵｶﾞﾜ ｹﾝﾀﾛｳ</t>
  </si>
  <si>
    <t>吉山　雄己</t>
  </si>
  <si>
    <t>ﾖｼﾔﾏ ﾕｳｷ</t>
  </si>
  <si>
    <t>垰田　真琴</t>
  </si>
  <si>
    <t>ﾀｵﾀﾞ ﾏｺﾄ</t>
  </si>
  <si>
    <t>山本　偉瑠</t>
  </si>
  <si>
    <t>ﾔﾏﾓﾄ ﾀｹﾙ</t>
  </si>
  <si>
    <t>中田　紘凌</t>
  </si>
  <si>
    <t>ﾅｶﾀ ｺｳﾘｮｳ</t>
  </si>
  <si>
    <t>須賀　正史</t>
  </si>
  <si>
    <t>ｽｶﾞ ﾏｻｼ</t>
  </si>
  <si>
    <t>池本　航</t>
  </si>
  <si>
    <t>ｲｹﾓﾄ ﾜﾀﾙ</t>
  </si>
  <si>
    <t>山方　利斉</t>
  </si>
  <si>
    <t>ﾔﾏｶﾞﾀ ﾄｼﾅﾘ</t>
  </si>
  <si>
    <t>土江　啓太</t>
  </si>
  <si>
    <t>ﾄﾞｴ ｹｲﾀ</t>
  </si>
  <si>
    <t>広島経済大学</t>
  </si>
  <si>
    <t>青山　翔</t>
  </si>
  <si>
    <t>ｱｵﾔﾏ ｼｮｳ</t>
  </si>
  <si>
    <t>山本　大悟</t>
  </si>
  <si>
    <t>ﾔﾏﾓﾄ ﾀﾞｲｺﾞ</t>
  </si>
  <si>
    <t>石川　雅之</t>
  </si>
  <si>
    <t>ｲｼｶﾜ ﾏｻﾕｷ</t>
  </si>
  <si>
    <t>大下　浩平</t>
  </si>
  <si>
    <t>ｵｵｼﾀ ｺｳﾍｲ</t>
  </si>
  <si>
    <t>小谷　輝行</t>
  </si>
  <si>
    <t>ｺﾀﾆ ﾃﾙﾕｷ</t>
  </si>
  <si>
    <t>矢吹　陽平</t>
  </si>
  <si>
    <t>ﾔﾌﾞｷ ﾖｳﾍｲ</t>
  </si>
  <si>
    <t>藤井　貴大</t>
  </si>
  <si>
    <t>ﾌｼﾞｲ ﾀｶﾋﾛ</t>
  </si>
  <si>
    <t>藤原　舜</t>
  </si>
  <si>
    <t>ﾌｼﾞﾜﾗ ｼｭﾝ</t>
  </si>
  <si>
    <t>土居森　諒</t>
  </si>
  <si>
    <t>ﾄﾞｲﾓﾘ ﾘｮｳ</t>
  </si>
  <si>
    <t>堀尾　和弥</t>
  </si>
  <si>
    <t>ﾎﾘｵ ｶｽﾞﾔ</t>
  </si>
  <si>
    <t>大沼　優</t>
  </si>
  <si>
    <t>ｵｵﾇﾏ ﾏｻﾙ</t>
  </si>
  <si>
    <t>山本　啓輔</t>
  </si>
  <si>
    <t>ﾔﾏﾓﾄ ｹｲｽｹ</t>
  </si>
  <si>
    <t>赤星　佑弥</t>
  </si>
  <si>
    <t>ｱｶﾎｼ ﾕｳﾔ</t>
  </si>
  <si>
    <t>植木　貴洋</t>
  </si>
  <si>
    <t>ｳｴｷ ﾀｶﾋﾛ</t>
  </si>
  <si>
    <t>浅野　慎之佑</t>
  </si>
  <si>
    <t>ｱｻﾉ ｼﾝﾉｽｹ</t>
  </si>
  <si>
    <t>和田木　湧</t>
  </si>
  <si>
    <t>ﾜﾀﾞｷ ﾕｳ</t>
  </si>
  <si>
    <t>渡辺　洸</t>
  </si>
  <si>
    <t>ﾜﾀﾅﾍﾞ ﾋｶﾙ</t>
  </si>
  <si>
    <t>開内　竣梧</t>
  </si>
  <si>
    <t>ﾋﾗｷｳﾁ ｼｭﾝｺﾞ</t>
  </si>
  <si>
    <t>澤田　翔太</t>
  </si>
  <si>
    <t>ｻﾜﾀﾞ ｼｮｳﾀ</t>
  </si>
  <si>
    <t>下瀬　裕</t>
  </si>
  <si>
    <t>ｼﾓｾ ﾕｳ</t>
  </si>
  <si>
    <t>甲斐　祐弥</t>
  </si>
  <si>
    <t>ｶｲ ﾕｳﾔ</t>
  </si>
  <si>
    <t>沖　幸彦</t>
  </si>
  <si>
    <t>ｵｷ ﾕｷﾋｺ</t>
  </si>
  <si>
    <t>久保　尚輝</t>
  </si>
  <si>
    <t>ｸﾎﾞ ﾅｵｷ</t>
  </si>
  <si>
    <t>谷口　真士</t>
  </si>
  <si>
    <t>ﾀﾆｸﾞﾁ ﾏｻｼ</t>
  </si>
  <si>
    <t>西山　浩也</t>
  </si>
  <si>
    <t>ﾆｼﾔﾏ ﾋﾛﾔ</t>
  </si>
  <si>
    <t>藤原　駿也</t>
  </si>
  <si>
    <t>小泉　貴裕</t>
  </si>
  <si>
    <t>ｺｲｽﾞﾐ ﾀｶﾋﾛ</t>
  </si>
  <si>
    <t>岡本　朝日</t>
  </si>
  <si>
    <t>ｵｶﾓﾄ ｱｻﾋ</t>
  </si>
  <si>
    <t>米村　健志</t>
  </si>
  <si>
    <t>ﾖﾈﾑﾗ ﾀｹｼ</t>
  </si>
  <si>
    <t>小嶋　修平</t>
  </si>
  <si>
    <t>ｺｼﾞﾏ ｼｭｳﾍｲ</t>
  </si>
  <si>
    <t>川野　敦史</t>
  </si>
  <si>
    <t>ｶﾜﾉ ｱﾂｼ</t>
  </si>
  <si>
    <t>髙田　修</t>
  </si>
  <si>
    <t>ﾀｶﾀ ｵｻﾑ</t>
  </si>
  <si>
    <t>石本　惣一朗</t>
  </si>
  <si>
    <t>ｲｼﾓﾄ ｿｳｲﾁﾛｳ</t>
  </si>
  <si>
    <t>平山　大志</t>
  </si>
  <si>
    <t>ﾋﾗﾔﾏ ﾋﾛｼ</t>
  </si>
  <si>
    <t>永田　雅英</t>
  </si>
  <si>
    <t>ﾅｶﾞﾀ ﾏｻﾋﾃﾞ</t>
  </si>
  <si>
    <t>島　大侃</t>
  </si>
  <si>
    <t>ｼﾏ ﾀｲｶﾝ</t>
  </si>
  <si>
    <t>礒野　潤平</t>
  </si>
  <si>
    <t>ｲｿﾉ ｼﾞｭﾝﾍﾟｲ</t>
  </si>
  <si>
    <t>江藤　祐太</t>
  </si>
  <si>
    <t>ｴﾄｳ ﾕｳﾀ</t>
  </si>
  <si>
    <t>古谷　龍斗</t>
  </si>
  <si>
    <t>ﾌﾙﾔ ﾘｭｳﾄ</t>
  </si>
  <si>
    <t>宮本　健太郎</t>
  </si>
  <si>
    <t>ﾐﾔﾓﾄ ｹﾝﾀﾛｳ</t>
  </si>
  <si>
    <t>大島　拓也</t>
  </si>
  <si>
    <t>ｵｵｼﾏ ﾀｸﾔ</t>
  </si>
  <si>
    <t>鎌田　滉</t>
  </si>
  <si>
    <t>ｶﾏﾀﾞ ｱｷﾗ</t>
  </si>
  <si>
    <t>福井　肇</t>
  </si>
  <si>
    <t>ﾌｸｲ ﾊｼﾞﾒ</t>
  </si>
  <si>
    <t>才原　翔斗</t>
  </si>
  <si>
    <t>ｻｲﾊﾗ ｼｮｳﾄ</t>
  </si>
  <si>
    <t>岡本　洋樹</t>
  </si>
  <si>
    <t>ｵｶﾓﾄ ﾋﾛｷ</t>
  </si>
  <si>
    <t>岡山理科大学</t>
  </si>
  <si>
    <t>白髭　駿</t>
  </si>
  <si>
    <t>ｼﾗﾋｹﾞ ｼｭﾝ</t>
  </si>
  <si>
    <t>澤谷　拓真</t>
  </si>
  <si>
    <t>ｻﾜﾀﾆ ﾀｸﾏ</t>
  </si>
  <si>
    <t>豊嶋　純一</t>
  </si>
  <si>
    <t>ﾄﾖｼﾏ ｼﾞｭﾝｲﾁ</t>
  </si>
  <si>
    <t>中山　翔太</t>
  </si>
  <si>
    <t>ﾅｶﾔﾏ ｼｮｳﾀ</t>
  </si>
  <si>
    <t>月本　新太郎</t>
  </si>
  <si>
    <t>ﾂｷﾓﾄ ｼﾝﾀﾛｳ</t>
  </si>
  <si>
    <t>加藤　遼</t>
  </si>
  <si>
    <t>ｶﾄｳ ﾘｮｳ</t>
  </si>
  <si>
    <t>手島　賢人</t>
  </si>
  <si>
    <t>ﾃｼﾏ ｹﾝﾄ</t>
  </si>
  <si>
    <t>倉橋　宏輔</t>
  </si>
  <si>
    <t>ｸﾗﾊｼ ｺｳｽｹ</t>
  </si>
  <si>
    <t>森本　喬也</t>
  </si>
  <si>
    <t>ﾓﾘﾓﾄ ﾀｶﾔ</t>
  </si>
  <si>
    <t>末光　智晴</t>
  </si>
  <si>
    <t>ｽｴﾐﾂ ﾄﾓﾊﾙ</t>
  </si>
  <si>
    <t>小林　賢和</t>
  </si>
  <si>
    <t>ｺﾊﾞﾔｼ ﾏｻｶｽﾞ</t>
  </si>
  <si>
    <t>杉原　勇太</t>
  </si>
  <si>
    <t>ｽｷﾞﾊﾗ ﾕｳﾀ</t>
  </si>
  <si>
    <t>山本　優人</t>
  </si>
  <si>
    <t>ﾔﾏﾓﾄ ﾏｻﾄ</t>
  </si>
  <si>
    <t>石井　大輔</t>
  </si>
  <si>
    <t>ｲｼｲ ﾀﾞｲｽｹ</t>
  </si>
  <si>
    <t>小幡　辰哉</t>
  </si>
  <si>
    <t>ｵﾊﾞﾀ ﾀﾂﾔ</t>
  </si>
  <si>
    <t>関口　誠也</t>
  </si>
  <si>
    <t>ｾｷｸﾞﾁ ｾｲﾔ</t>
  </si>
  <si>
    <t>長瀬　清太郎</t>
  </si>
  <si>
    <t>ﾅｶﾞｾ ｼｮｳﾀﾛｳ</t>
  </si>
  <si>
    <t>川辺　祐介</t>
  </si>
  <si>
    <t>ｶﾜﾍﾞ ﾕｳｽｹ</t>
  </si>
  <si>
    <t>美作大学</t>
  </si>
  <si>
    <t>櫻井　秀樹</t>
  </si>
  <si>
    <t>ｻｸﾗｲ ﾋﾃﾞｷ</t>
  </si>
  <si>
    <t>野島　克斗志</t>
  </si>
  <si>
    <t>ﾉｼﾞﾏ ｶﾂﾄｼ</t>
  </si>
  <si>
    <t>松本　史哉</t>
  </si>
  <si>
    <t>ﾏﾂﾓﾄ ﾌﾐﾔ</t>
  </si>
  <si>
    <t>築山　知弘</t>
  </si>
  <si>
    <t>ﾂｷﾔﾏ ｶｽﾞﾋﾛ</t>
  </si>
  <si>
    <t>信定　裕也</t>
  </si>
  <si>
    <t>ﾉﾌﾞｻﾀﾞ ﾕｳﾔ</t>
  </si>
  <si>
    <t>皆木　直樹</t>
  </si>
  <si>
    <t>ﾐﾅｷﾞ ﾅｵｷ</t>
  </si>
  <si>
    <t>山本　裕也</t>
  </si>
  <si>
    <t>ﾔﾏﾓﾄ ﾕｳﾔ</t>
  </si>
  <si>
    <t>滝澤　隆也</t>
  </si>
  <si>
    <t>ﾀｷｻﾜ ﾘｭｳﾔ</t>
  </si>
  <si>
    <t>福田　一生</t>
  </si>
  <si>
    <t>ﾌｸﾀﾞ ｶｽﾞｷ</t>
  </si>
  <si>
    <t>上山　歩</t>
  </si>
  <si>
    <t>ｳｴﾔﾏ ｱﾕﾑ</t>
  </si>
  <si>
    <t>谷口　諒</t>
  </si>
  <si>
    <t>ﾀﾆｸﾞﾁ ﾘｮｳ</t>
  </si>
  <si>
    <t>松尾　直樹</t>
  </si>
  <si>
    <t>ﾏﾂｵ ﾅｵｷ</t>
  </si>
  <si>
    <t>松浦　憲吾</t>
  </si>
  <si>
    <t>ﾏﾂｳﾗ ｹﾝｺﾞ</t>
  </si>
  <si>
    <t>津山工業高等専門学校</t>
  </si>
  <si>
    <t>江國　侑汰</t>
  </si>
  <si>
    <t>ｴｸﾆ ﾕｳﾀ</t>
  </si>
  <si>
    <t>遠藤　広務</t>
  </si>
  <si>
    <t>ｴﾝﾄﾞｳ ﾋﾛﾑ</t>
  </si>
  <si>
    <t>川端　智貴</t>
  </si>
  <si>
    <t>ｶﾜﾊﾞﾀ ﾄﾓｷ</t>
  </si>
  <si>
    <t>内匠　雄</t>
  </si>
  <si>
    <t>ﾀｸﾐ ﾕｳ</t>
  </si>
  <si>
    <t>中村　直輝</t>
  </si>
  <si>
    <t>ﾅｶﾑﾗ ﾅｵｷ</t>
  </si>
  <si>
    <t>中村　星登</t>
  </si>
  <si>
    <t>ﾅｶﾑﾗ ﾎｼﾄ</t>
  </si>
  <si>
    <t>龍門　晃希</t>
  </si>
  <si>
    <t>ﾘｭｳﾓﾝ ｺｳｷ</t>
  </si>
  <si>
    <t>秋元　勇人</t>
  </si>
  <si>
    <t>ｱｷﾓﾄ ﾕｳﾄ</t>
  </si>
  <si>
    <t>石橋　尚也</t>
  </si>
  <si>
    <t>ｲｼﾊﾞｼ ﾅｵﾔ</t>
  </si>
  <si>
    <t>磯山　元輝</t>
  </si>
  <si>
    <t>ｲｿﾔﾏ ｹﾞﾝｷ</t>
  </si>
  <si>
    <t>大本　篤志</t>
  </si>
  <si>
    <t>ｵｵﾓﾄ ｱﾂｼ</t>
  </si>
  <si>
    <t>河合　隼太</t>
  </si>
  <si>
    <t>ｶﾜｲ ﾊﾔﾀ</t>
  </si>
  <si>
    <t>鈴木　浩規</t>
  </si>
  <si>
    <t>ｽｽﾞｷ ﾋﾛｷ</t>
  </si>
  <si>
    <t>武元　大樹</t>
  </si>
  <si>
    <t>ﾀｹﾓﾄ ﾀﾞｲｷ</t>
  </si>
  <si>
    <t>福島　翔吾</t>
  </si>
  <si>
    <t>ﾌｸｼﾏ ｼｮｳｺﾞ</t>
  </si>
  <si>
    <t>本田　将也</t>
  </si>
  <si>
    <t>ﾎﾝﾀﾞ ﾏｻﾔ</t>
  </si>
  <si>
    <t>高知大学</t>
  </si>
  <si>
    <t>野川　雄史</t>
  </si>
  <si>
    <t>ﾉｶﾞﾜ ﾀｶﾌﾐ</t>
  </si>
  <si>
    <t>石村　侑大</t>
  </si>
  <si>
    <t>ｲｼﾑﾗ ﾕｳﾀﾞｲ</t>
  </si>
  <si>
    <t>岩谷　誠</t>
  </si>
  <si>
    <t>ｲﾜﾀﾆ ﾏｺﾄ</t>
  </si>
  <si>
    <t>大羽　寛史</t>
  </si>
  <si>
    <t>ｵｵﾊ ﾋﾛｼ</t>
  </si>
  <si>
    <t>諏訪　裕祐</t>
  </si>
  <si>
    <t>ｽﾜ ﾕｳｽｹ</t>
  </si>
  <si>
    <t>秋山　雄太</t>
  </si>
  <si>
    <t>ｱｷﾔﾏ ﾕｳﾀ</t>
  </si>
  <si>
    <t>伊勢脇　厚哉</t>
  </si>
  <si>
    <t>ｲｾﾜｷ ｱﾂﾔ</t>
  </si>
  <si>
    <t>江國　隼斗</t>
  </si>
  <si>
    <t>ｴｸﾆ ﾊﾔﾄ</t>
  </si>
  <si>
    <t>小島　太郎</t>
  </si>
  <si>
    <t>ｵｼﾞﾏ ﾀﾛｳ</t>
  </si>
  <si>
    <t>寺田　勇気</t>
  </si>
  <si>
    <t>ﾃﾗﾀﾞ ﾕｳｷ</t>
  </si>
  <si>
    <t>豊川　雄輔</t>
  </si>
  <si>
    <t>ﾄﾖｶﾜ ﾕｳｽｹ</t>
  </si>
  <si>
    <t>西村　太志</t>
  </si>
  <si>
    <t>ﾆｼﾑﾗ ﾋﾛｼ</t>
  </si>
  <si>
    <t>小西　庸介</t>
  </si>
  <si>
    <t>ｺﾆｼ ﾖｳｽｹ</t>
  </si>
  <si>
    <t>佐藤　誠也</t>
  </si>
  <si>
    <t>ｻﾄｳ ｾｲﾔ</t>
  </si>
  <si>
    <t>山野　孝憲</t>
  </si>
  <si>
    <t>ﾔﾏﾉ ﾀｶﾉﾘ</t>
  </si>
  <si>
    <t>横山　新太朗</t>
  </si>
  <si>
    <t>ﾖｺﾔﾏ ｼﾝﾀﾛｳ</t>
  </si>
  <si>
    <t>石丸　滉貴</t>
  </si>
  <si>
    <t>ｲｼﾏﾙ ｺｳｷ</t>
  </si>
  <si>
    <t>尾首　亮</t>
  </si>
  <si>
    <t>ｵｸﾋﾞ ﾘｮｳ</t>
  </si>
  <si>
    <t>垣内　星了</t>
  </si>
  <si>
    <t>ｶｷｳﾁ ｾｲﾘｮｳ</t>
  </si>
  <si>
    <t>門田　晃誠</t>
  </si>
  <si>
    <t>ｶﾄﾞﾀ ｺｳｾｲ</t>
  </si>
  <si>
    <t>苅谷　勇希</t>
  </si>
  <si>
    <t>ｶﾘﾔ ﾕｳｷ</t>
  </si>
  <si>
    <t>川畑　哲</t>
  </si>
  <si>
    <t>ｶﾜﾊﾞﾀ ｻﾄｼ</t>
  </si>
  <si>
    <t>田中　佳祐</t>
  </si>
  <si>
    <t>ﾀﾅｶ ｹｲｽｹ</t>
  </si>
  <si>
    <t>中村　勝之介</t>
  </si>
  <si>
    <t>ﾅｶﾑﾗ ｶﾂﾉｽｹ</t>
  </si>
  <si>
    <t>長井　勝海</t>
  </si>
  <si>
    <t>ﾅｶﾞｲ ｶﾂﾐ</t>
  </si>
  <si>
    <t>野村　晋平</t>
  </si>
  <si>
    <t>ﾉﾑﾗ ｼﾝﾍﾟｲ</t>
  </si>
  <si>
    <t>橋本　翔真</t>
  </si>
  <si>
    <t>ﾊｼﾓﾄ ｼｮｳﾏ</t>
  </si>
  <si>
    <t>元戎　勇斗</t>
  </si>
  <si>
    <t>ﾓﾄｴﾋﾞｽ ﾊﾔﾄ</t>
  </si>
  <si>
    <t>村田　真太郎</t>
  </si>
  <si>
    <t>ﾑﾗﾀ ｼﾝﾀﾛｳ</t>
  </si>
  <si>
    <t>山崎　祐輝</t>
  </si>
  <si>
    <t>ﾔﾏｻｷ ﾕｳｷ</t>
  </si>
  <si>
    <t>皮居　巧嗣</t>
  </si>
  <si>
    <t>ｶﾜｲ ｺｳｼﾞ</t>
  </si>
  <si>
    <t>河内　啓貴</t>
  </si>
  <si>
    <t>ｶﾜｳﾁ ﾋﾛﾀｶ</t>
  </si>
  <si>
    <t>橋本　開</t>
  </si>
  <si>
    <t>ﾊｼﾓﾄ ｶｲ</t>
  </si>
  <si>
    <t>祐盛　湧希</t>
  </si>
  <si>
    <t>ｽｹﾓﾘ ﾕｳｷ</t>
  </si>
  <si>
    <t>前田　直輝</t>
  </si>
  <si>
    <t>ﾏｴﾀﾞ ﾅｵｷ</t>
  </si>
  <si>
    <t>横谷　昌樹</t>
  </si>
  <si>
    <t>ﾖｺﾀﾆ ﾏｻｷ</t>
  </si>
  <si>
    <t>尾木　護</t>
  </si>
  <si>
    <t>ｵｷﾞ ﾏﾓﾙ</t>
  </si>
  <si>
    <t>窪　渉</t>
  </si>
  <si>
    <t>ｸﾎﾞ ﾜﾀﾙ</t>
  </si>
  <si>
    <t>坂井　隆志</t>
  </si>
  <si>
    <t>ｻｶｲ ﾀｶｼ</t>
  </si>
  <si>
    <t>松永　理</t>
  </si>
  <si>
    <t>ﾏﾂﾅｶﾞ ﾀｶｼ</t>
  </si>
  <si>
    <t>宮本　峰志</t>
  </si>
  <si>
    <t>ﾐﾔﾓﾄ ﾀｶﾕｷ</t>
  </si>
  <si>
    <t>本間　貴大</t>
  </si>
  <si>
    <t>ﾎﾝﾏ ﾀｶﾋﾛ</t>
  </si>
  <si>
    <t>鹿島　将大</t>
  </si>
  <si>
    <t>ｶｼﾏ ﾏｻﾋﾛ</t>
  </si>
  <si>
    <t>藤本　竜平</t>
  </si>
  <si>
    <t>ﾌｼﾞﾓﾄ ﾘｮｳﾍｲ</t>
  </si>
  <si>
    <t>黒川　至仁</t>
  </si>
  <si>
    <t>ｸﾛｶﾜ ﾖｼﾋﾄ</t>
  </si>
  <si>
    <t>藤田　裕</t>
  </si>
  <si>
    <t>ﾌｼﾞﾀ ﾕﾀｶ</t>
  </si>
  <si>
    <t>至誠館大学</t>
  </si>
  <si>
    <t>竹田　周平</t>
  </si>
  <si>
    <t>ﾀｹﾀﾞ ｼｭｳﾍｲ</t>
  </si>
  <si>
    <t>河根　拓哉</t>
  </si>
  <si>
    <t>ｶﾜﾈ ﾀｸﾔ</t>
  </si>
  <si>
    <t>酒井　駿</t>
  </si>
  <si>
    <t>ｻｶｲ ｼｭﾝ</t>
  </si>
  <si>
    <t>徳永　涼</t>
  </si>
  <si>
    <t>ﾄｸﾅｶﾞ ﾘｮｳ</t>
  </si>
  <si>
    <t>中村　和也</t>
  </si>
  <si>
    <t>ﾅｶﾑﾗ ｶｽﾞﾔ</t>
  </si>
  <si>
    <t>西林　佳人</t>
  </si>
  <si>
    <t>ﾆｼﾊﾞﾔｼ ﾖｼﾄ</t>
  </si>
  <si>
    <t>松田　大樹</t>
  </si>
  <si>
    <t>ﾏﾂﾀﾞ ﾋﾛｷ</t>
  </si>
  <si>
    <t>香川大学</t>
  </si>
  <si>
    <t>田中　智之</t>
  </si>
  <si>
    <t>ﾀﾅｶ ﾄﾓﾕｷ</t>
  </si>
  <si>
    <t>藤井　直人</t>
  </si>
  <si>
    <t>ﾌｼﾞｲ ﾅｵﾄ</t>
  </si>
  <si>
    <t>谷口　智宏</t>
  </si>
  <si>
    <t>ﾀﾆｸﾞﾁ ﾄﾓﾋﾛ</t>
  </si>
  <si>
    <t>山野　皓平</t>
  </si>
  <si>
    <t>ﾔﾏﾉ ｺｳﾍｲ</t>
  </si>
  <si>
    <t>木村　和樹</t>
  </si>
  <si>
    <t>ｷﾑﾗ ｶｽﾞｷ</t>
  </si>
  <si>
    <t>松本　倫幸</t>
  </si>
  <si>
    <t>ﾏﾂﾓﾄ ﾐﾁﾕｷ</t>
  </si>
  <si>
    <t>荒島　永作</t>
  </si>
  <si>
    <t>ｱﾗｼﾏ ｴｲｻｸ</t>
  </si>
  <si>
    <t>菊澤　健一</t>
  </si>
  <si>
    <t>ｷｸｻﾜ ｹﾝｲﾁ</t>
  </si>
  <si>
    <t>近藤　航介</t>
  </si>
  <si>
    <t>ｺﾝﾄﾞｳ ｺｳｽｹ</t>
  </si>
  <si>
    <t>鈴木　仁士</t>
  </si>
  <si>
    <t>ｽｽﾞｷ ｻﾄｼ</t>
  </si>
  <si>
    <t>藤本　恭平</t>
  </si>
  <si>
    <t>ﾌｼﾞﾓﾄ ｷｮｳﾍｲ</t>
  </si>
  <si>
    <t>大町　修平</t>
  </si>
  <si>
    <t>ｵｵﾏﾁ ｼｭｳﾍｲ</t>
  </si>
  <si>
    <t>森宗　利晃</t>
  </si>
  <si>
    <t>ﾓﾘｿｳ ﾄｼｱｷ</t>
  </si>
  <si>
    <t>久保　文寿</t>
  </si>
  <si>
    <t>ｸﾎﾞ ﾌﾐﾋｻ</t>
  </si>
  <si>
    <t>川田　真也</t>
  </si>
  <si>
    <t>ｶﾜﾀﾞ ﾏｻﾔ</t>
    <phoneticPr fontId="2"/>
  </si>
  <si>
    <t>可児　尚弥</t>
  </si>
  <si>
    <t>ｶﾆ ﾅｵﾔ</t>
  </si>
  <si>
    <t>元屋地　祐太</t>
  </si>
  <si>
    <t>ﾓﾄﾔｼﾞ ﾕｳﾀ</t>
  </si>
  <si>
    <t>山下　玄太</t>
  </si>
  <si>
    <t>ﾔﾏｼﾀ ｹﾞﾝﾀ</t>
  </si>
  <si>
    <t>近畿大学中国四国</t>
  </si>
  <si>
    <t>岩本　和磨</t>
  </si>
  <si>
    <t>ｲﾜﾓﾄ ｶｽﾞﾏ</t>
  </si>
  <si>
    <t>前迫　駿翔</t>
  </si>
  <si>
    <t>ﾏｴｻｺ ﾊﾔﾄ</t>
  </si>
  <si>
    <t>三島　拓也</t>
  </si>
  <si>
    <t>ﾐｼﾏ ﾀｸﾔ</t>
  </si>
  <si>
    <t>山口　裕貴</t>
  </si>
  <si>
    <t>ﾔﾏｸﾞﾁ ﾋﾛﾀｶ</t>
  </si>
  <si>
    <t>高橋　誠</t>
  </si>
  <si>
    <t>ﾀｶﾊｼ ﾏｺﾄ</t>
  </si>
  <si>
    <t>濱田　勇輝</t>
  </si>
  <si>
    <t>ﾊﾏﾀﾞ ﾕｳｷ</t>
  </si>
  <si>
    <t>櫻井　龍太</t>
  </si>
  <si>
    <t>ｻｸﾗｲ ﾘｭｳﾀ</t>
  </si>
  <si>
    <t>松井　一稀</t>
  </si>
  <si>
    <t>ﾏﾂｲ ｶｽﾞｷ</t>
  </si>
  <si>
    <t>沖　駿祐</t>
  </si>
  <si>
    <t>ｵｷ ｼｭﾝｽｹ</t>
  </si>
  <si>
    <t>豊田　晋太郎</t>
  </si>
  <si>
    <t>ﾄﾖﾀﾞ ｼﾝﾀﾛｳ</t>
  </si>
  <si>
    <t>森永　将太</t>
  </si>
  <si>
    <t>ﾓﾘﾅｶﾞ ｼｮｳﾀ</t>
  </si>
  <si>
    <t>濱　伊佐人</t>
  </si>
  <si>
    <t>ﾊﾏ ｲｻﾄ</t>
  </si>
  <si>
    <t>上光　克彦</t>
  </si>
  <si>
    <t>ｳｴﾐﾂ ｶﾂﾋｺ</t>
  </si>
  <si>
    <t>福本　悠人</t>
  </si>
  <si>
    <t>ﾌｸﾓﾄ ﾕｳﾄ</t>
  </si>
  <si>
    <t>中本　隼太</t>
  </si>
  <si>
    <t>ﾅｶﾓﾄ ﾊﾔﾀ</t>
  </si>
  <si>
    <t>岡山大学</t>
  </si>
  <si>
    <t>政田　恭孝</t>
  </si>
  <si>
    <t>ﾏｻﾀﾞ ﾔｽﾀｶ</t>
  </si>
  <si>
    <t>宇高　昌弘</t>
  </si>
  <si>
    <t>ｳﾀﾞｶ ﾏｻﾋﾛ</t>
  </si>
  <si>
    <t>大原　健佑</t>
  </si>
  <si>
    <t>ｵｵﾊﾗ ｹﾝｽｹ</t>
  </si>
  <si>
    <t>白谷　怜央</t>
  </si>
  <si>
    <t>ｼﾗﾀﾆ ﾚｵ</t>
  </si>
  <si>
    <t>高先　勇希</t>
  </si>
  <si>
    <t>ﾀｶｻｷ ﾕｳｷ</t>
  </si>
  <si>
    <t>田中　優介</t>
  </si>
  <si>
    <t>ﾀﾅｶ ﾕｳｽｹ</t>
  </si>
  <si>
    <t>藤浪　拓也</t>
  </si>
  <si>
    <t>ﾌｼﾞﾅﾐ ﾀｸﾔ</t>
  </si>
  <si>
    <t>三次　悠哉</t>
    <rPh sb="1" eb="2">
      <t>ツギ</t>
    </rPh>
    <phoneticPr fontId="2"/>
  </si>
  <si>
    <t>ﾐﾖｼ ﾕｳﾔ</t>
  </si>
  <si>
    <t>石原　朋典</t>
  </si>
  <si>
    <t>ｲｼﾊﾗ ﾄﾓﾉﾘ</t>
  </si>
  <si>
    <t>中井　優</t>
  </si>
  <si>
    <t>ﾅｶｲ ﾕｳ</t>
  </si>
  <si>
    <t>山本　諒</t>
  </si>
  <si>
    <t>ﾔﾏﾓﾄ ﾘｮｳ</t>
  </si>
  <si>
    <t>大島商船高等専門学校</t>
  </si>
  <si>
    <t>谷本　裕俊</t>
  </si>
  <si>
    <t>ﾀﾆﾓﾄ ﾋﾛﾄｼ</t>
  </si>
  <si>
    <t>金岡　拓哉</t>
  </si>
  <si>
    <t>ｶﾅｵｶ ﾀｸﾔ</t>
  </si>
  <si>
    <t>三村　裕矢</t>
  </si>
  <si>
    <t>ﾐﾑﾗ ﾕｳﾔ</t>
  </si>
  <si>
    <t>岡田　航</t>
  </si>
  <si>
    <t>ｵｶﾀﾞ ﾜﾀﾙ</t>
  </si>
  <si>
    <t>四国大学</t>
  </si>
  <si>
    <t>大羽　剛司</t>
  </si>
  <si>
    <t>ｵｵﾊ ﾀｹｼ</t>
  </si>
  <si>
    <t>呉工業高等専門学校</t>
  </si>
  <si>
    <t>山中　勇人</t>
  </si>
  <si>
    <t>ﾔﾏﾅｶ ﾕｳﾄ</t>
  </si>
  <si>
    <t>村本　瞭真</t>
  </si>
  <si>
    <t>ﾑﾗﾓﾄ ﾘｮｳﾏ</t>
  </si>
  <si>
    <t>宗像　俊</t>
  </si>
  <si>
    <t>ﾑﾅｶﾀ ｼｭﾝ</t>
  </si>
  <si>
    <t>山本　貴大</t>
  </si>
  <si>
    <t>ﾔﾏﾓﾄ ﾀｶﾋﾛ</t>
  </si>
  <si>
    <t>小川　大貴</t>
  </si>
  <si>
    <t>ｵｶﾞﾜ ﾀﾞｲｷ</t>
  </si>
  <si>
    <t>栗栖　裕紀</t>
  </si>
  <si>
    <t>ｸﾘｽ ﾋﾛｷ</t>
  </si>
  <si>
    <t>堀　智貴</t>
  </si>
  <si>
    <t>ﾎﾘ ﾄﾓｷ</t>
  </si>
  <si>
    <t>古田　優希</t>
  </si>
  <si>
    <t>ﾌﾙﾀ ﾕｳｷ</t>
  </si>
  <si>
    <t>中村　和真</t>
  </si>
  <si>
    <t>ﾅｶﾑﾗ ｶｽﾞﾏ</t>
  </si>
  <si>
    <t>吉備国際大学</t>
  </si>
  <si>
    <t>鈴木　祐晃</t>
  </si>
  <si>
    <t>ｽｽﾞｷ ﾏｻｱｷ</t>
  </si>
  <si>
    <t>楠木　太一朗</t>
  </si>
  <si>
    <t>ｸｽﾉｷ ﾀｲﾁﾛｳ</t>
  </si>
  <si>
    <t>富田　悠介</t>
  </si>
  <si>
    <t>ﾄﾐﾀ ﾕｳｽｹ</t>
  </si>
  <si>
    <t>藤井　一輝</t>
  </si>
  <si>
    <t>ﾌｼﾞｲ ｶｽﾞｷ</t>
  </si>
  <si>
    <t>三好 智大</t>
  </si>
  <si>
    <t>ﾐﾖｼ ﾄﾓﾋﾛ</t>
  </si>
  <si>
    <t>時弘　浩介</t>
  </si>
  <si>
    <t>ﾄｷﾋﾛ ｺｳｽｹ</t>
  </si>
  <si>
    <t>福山平成大学</t>
  </si>
  <si>
    <t>野本　純平</t>
  </si>
  <si>
    <t>ﾉﾓﾄ ｼﾞｭﾝﾍﾟｲ</t>
  </si>
  <si>
    <t>広島修道大学</t>
  </si>
  <si>
    <t>上原　和也</t>
  </si>
  <si>
    <t>ｳｴﾊﾗ ｶｽﾞﾔ</t>
  </si>
  <si>
    <t>潮　良祐</t>
  </si>
  <si>
    <t>ｳｼｵ ﾘｮｳｽｹ</t>
  </si>
  <si>
    <t>角田　靖郎</t>
    <rPh sb="4" eb="5">
      <t>ロウ</t>
    </rPh>
    <phoneticPr fontId="2"/>
  </si>
  <si>
    <t>ｽﾐﾀﾞ ﾔｽｵ</t>
  </si>
  <si>
    <t>長瀬　清一郎</t>
  </si>
  <si>
    <t>ﾅｶﾞｾ ｾｲｲﾁﾛｳ</t>
  </si>
  <si>
    <t>中野　拳</t>
  </si>
  <si>
    <t>ﾅｶﾉ ｹﾝ</t>
  </si>
  <si>
    <t>能美　和明</t>
  </si>
  <si>
    <t>ﾉｳﾐ ｶｽﾞｱｷ</t>
  </si>
  <si>
    <t>安藤　健太</t>
  </si>
  <si>
    <t>ｱﾝﾄﾞｳ ｹﾝﾀ</t>
  </si>
  <si>
    <t>尾崎　勇海</t>
  </si>
  <si>
    <t>ｵｻﾞｷ ｲｻﾐ</t>
  </si>
  <si>
    <t>久保田　一翔</t>
  </si>
  <si>
    <t>ｸﾎﾞﾀ ｶｽﾞﾊ</t>
  </si>
  <si>
    <t>塩出　諒</t>
  </si>
  <si>
    <t>ｼｵﾃﾞ ﾘｮｳ</t>
  </si>
  <si>
    <t>中田　博文</t>
  </si>
  <si>
    <t>ﾅｶﾀ ﾋﾛﾌﾐ</t>
  </si>
  <si>
    <t>中本　岳</t>
  </si>
  <si>
    <t>ﾅｶﾓﾄ ﾀｹﾙ</t>
  </si>
  <si>
    <t>流田　涼太</t>
  </si>
  <si>
    <t>ﾅｶﾞﾚﾀﾞ ﾘｮｳﾀ</t>
  </si>
  <si>
    <t>羽田　俊明</t>
  </si>
  <si>
    <t>ﾊﾈﾀﾞ ﾄｼｱｷ</t>
  </si>
  <si>
    <t>藤井　隆仁</t>
  </si>
  <si>
    <t>ﾌｼﾞｲ ﾘｭｳﾄ</t>
  </si>
  <si>
    <t>藤原　凌</t>
  </si>
  <si>
    <t>ﾌｼﾞﾊﾗ ﾘｮｳ</t>
  </si>
  <si>
    <t>松原　友裕</t>
  </si>
  <si>
    <t>ﾏﾂﾊﾞﾗ ﾄﾓﾋﾛ</t>
  </si>
  <si>
    <t>松村　優太</t>
  </si>
  <si>
    <t>ﾏﾂﾑﾗ ﾕｳﾀ</t>
  </si>
  <si>
    <t>村上　裕樹</t>
  </si>
  <si>
    <t>ﾑﾗｶﾐ ﾕｳｷ</t>
  </si>
  <si>
    <t>渡　圭大</t>
  </si>
  <si>
    <t>ﾜﾀﾘ ｹｲﾀﾞｲ</t>
  </si>
  <si>
    <t>猪熊　亮太</t>
  </si>
  <si>
    <t>ｲｸﾞﾏ ﾘｮｳﾀ</t>
  </si>
  <si>
    <t>小谷　将大</t>
  </si>
  <si>
    <t>ｺﾀﾆ ﾏｻﾋﾛ</t>
  </si>
  <si>
    <t>児玉　靖明</t>
  </si>
  <si>
    <t>ｺﾀﾞﾏ ﾔｽｱｷ</t>
    <phoneticPr fontId="2"/>
  </si>
  <si>
    <t>平本　克樹</t>
  </si>
  <si>
    <t>ﾋﾗﾓﾄ ｶﾂｷ</t>
  </si>
  <si>
    <t>尾留川　智一</t>
  </si>
  <si>
    <t>ﾋﾞﾙｶﾜ ﾄﾓｶｽﾞ</t>
  </si>
  <si>
    <t>向井　将人</t>
  </si>
  <si>
    <t>ﾑｶｲ ﾏｻﾄ</t>
  </si>
  <si>
    <t>弓瀬　航</t>
  </si>
  <si>
    <t>ﾕﾐｾ ﾜﾀﾙ</t>
  </si>
  <si>
    <t>鳴門教育大学</t>
  </si>
  <si>
    <t>松江　大樹</t>
  </si>
  <si>
    <t>ﾏﾂｴ ﾀﾞｲｷ</t>
  </si>
  <si>
    <t>森　翔汰</t>
  </si>
  <si>
    <t>長濱　奈樹</t>
  </si>
  <si>
    <t>ﾅｶﾞﾊﾏ ﾅｲｷ</t>
  </si>
  <si>
    <t>志摩　音平</t>
  </si>
  <si>
    <t>ｼﾏ ｵﾄﾍｲ</t>
  </si>
  <si>
    <t>山田　裕起</t>
  </si>
  <si>
    <t>大西　海人</t>
  </si>
  <si>
    <t>ｵｵﾆｼ ｶｲﾄ</t>
  </si>
  <si>
    <t>牛尾　太郎</t>
  </si>
  <si>
    <t>ｳｼｵ ﾀﾛｳ</t>
  </si>
  <si>
    <t>オオヤマ　駿</t>
  </si>
  <si>
    <t>ｵｵﾔﾏ ｼｭﾝ</t>
  </si>
  <si>
    <t>藤原　臣大</t>
  </si>
  <si>
    <t>ﾌｼﾞﾜﾗ ｼﾝﾀ</t>
  </si>
  <si>
    <t>甲斐　大介</t>
  </si>
  <si>
    <t>ｶｲ ﾀﾞｲｽｹ</t>
  </si>
  <si>
    <t>愛媛大学</t>
  </si>
  <si>
    <t>西川　浩輔</t>
  </si>
  <si>
    <t>ﾆｼｶﾜ ｺｳｽｹ</t>
  </si>
  <si>
    <t>和泉　遼</t>
  </si>
  <si>
    <t>ｲｽﾞﾐ ﾘｮｳ</t>
  </si>
  <si>
    <t>曽我部　恭成</t>
  </si>
  <si>
    <t>ｿｶﾞﾍﾞ ｷｮｳｾｲ</t>
  </si>
  <si>
    <t>田坂　達郎</t>
  </si>
  <si>
    <t>ﾀｻｶ ﾀﾂﾛｳ</t>
  </si>
  <si>
    <t>秋田　拓磨</t>
  </si>
  <si>
    <t>ｱｷﾀ ﾀｸﾏ</t>
  </si>
  <si>
    <t>高橋　良輔</t>
  </si>
  <si>
    <t>ﾀｶﾊｼ ﾘｮｳｽｹ</t>
  </si>
  <si>
    <t>村上　慶匡</t>
  </si>
  <si>
    <t>ﾑﾗｶﾐ ﾖｼﾏｻ</t>
  </si>
  <si>
    <t>松本　圭</t>
  </si>
  <si>
    <t>ﾏﾂﾓﾄ ｹｲ</t>
  </si>
  <si>
    <t>大野　輝之</t>
  </si>
  <si>
    <t>ｵｵﾉ ﾃﾙﾕｷ</t>
  </si>
  <si>
    <t>大原　健太郎</t>
  </si>
  <si>
    <t>ｵｵﾊﾗ ｹﾝﾀﾛｳ</t>
  </si>
  <si>
    <t>井本　直輝</t>
  </si>
  <si>
    <t>ｲﾓﾄ ﾅｵｷ</t>
  </si>
  <si>
    <t>江浪　修平</t>
  </si>
  <si>
    <t>ｴﾅﾐ ｼｭｳﾍｲ</t>
  </si>
  <si>
    <t>中村　圭</t>
  </si>
  <si>
    <t>ﾅｶﾑﾗ ｹｲ</t>
  </si>
  <si>
    <t>長谷部　栄多</t>
  </si>
  <si>
    <t>ﾊｾﾍﾞ ｴｲﾀ</t>
  </si>
  <si>
    <t>前田　隆之</t>
  </si>
  <si>
    <t>ﾏｴﾀ ﾀｶﾕｷ</t>
  </si>
  <si>
    <t>氏平　皓</t>
  </si>
  <si>
    <t>ｳｼﾞﾋﾗ ｺｳ</t>
  </si>
  <si>
    <t>河口　力</t>
  </si>
  <si>
    <t>ｶﾜｸﾞﾁ ﾘｷ</t>
  </si>
  <si>
    <t>高田　凌佑</t>
  </si>
  <si>
    <t>ﾀｶﾀ ﾘｮｳｽｹ</t>
  </si>
  <si>
    <t>田中　優司</t>
  </si>
  <si>
    <t>ﾀﾅｶ ﾕｳｼﾞ</t>
  </si>
  <si>
    <t>埜下　雄史</t>
  </si>
  <si>
    <t>ﾉﾉｼﾀ ﾕｳｼﾞ</t>
  </si>
  <si>
    <t>堀田　寛人</t>
  </si>
  <si>
    <t>ﾎｯﾀ ｶﾝﾄ</t>
  </si>
  <si>
    <t>脇谷　恭輔</t>
  </si>
  <si>
    <t>ﾜｷﾀﾆ ｷｮｳｽｹ</t>
  </si>
  <si>
    <t>安部　匠</t>
  </si>
  <si>
    <t>ｱﾍﾞ ﾀｸﾐ</t>
  </si>
  <si>
    <t>板井　昌太</t>
  </si>
  <si>
    <t>ｲﾀｲ ｼｮｳﾀ</t>
  </si>
  <si>
    <t>榎本　皓仁</t>
  </si>
  <si>
    <t>ｴﾉﾓﾄ ﾋﾛﾋﾄ</t>
  </si>
  <si>
    <t>大堀　真生</t>
  </si>
  <si>
    <t>ｵｵﾎﾘ ﾏｻｷ</t>
  </si>
  <si>
    <t>岡村　遥</t>
  </si>
  <si>
    <t>ｵｶﾑﾗ ﾊﾙｶ</t>
  </si>
  <si>
    <t>小田　淳史</t>
  </si>
  <si>
    <t>ｵﾀﾞ ｱﾂｼ</t>
  </si>
  <si>
    <t>川井　健太郎</t>
  </si>
  <si>
    <t>ｶﾜｲ ｹﾝﾀﾛｳ</t>
  </si>
  <si>
    <t>西條　史朗</t>
  </si>
  <si>
    <t>ｻｲｼﾞｮｳ ｼﾛｳ</t>
  </si>
  <si>
    <t>佐々木　陸</t>
  </si>
  <si>
    <t>ｻｻｷ ﾘｸ</t>
  </si>
  <si>
    <t>左橋　直也</t>
  </si>
  <si>
    <t>ｻﾊｼ ﾅｵﾔ</t>
  </si>
  <si>
    <t>相田　健太郎</t>
  </si>
  <si>
    <t>ｿｳﾀﾞ ｹﾝﾀﾛｳ</t>
  </si>
  <si>
    <t>三木　猛司</t>
  </si>
  <si>
    <t>ﾐｷ ﾀｹｼ</t>
  </si>
  <si>
    <t>川崎医療福祉大学</t>
  </si>
  <si>
    <t>朝比奈　健斗</t>
  </si>
  <si>
    <t>ｱｻﾋﾅ ｹﾝﾄ</t>
  </si>
  <si>
    <t>加藤　佳祐</t>
  </si>
  <si>
    <t>ｶﾄｳ ｹｲｽｹ</t>
  </si>
  <si>
    <t>荒賀　大輝</t>
  </si>
  <si>
    <t>ｱﾗｶﾞ ﾋﾛｷ</t>
  </si>
  <si>
    <t>清水　淳士</t>
  </si>
  <si>
    <t>ｼﾐｽﾞ ｱﾂｼ</t>
  </si>
  <si>
    <t>竹中　一朗</t>
  </si>
  <si>
    <t>ﾀｹﾅｶ ｲﾁﾛｳ</t>
  </si>
  <si>
    <t>野口　豪樹</t>
  </si>
  <si>
    <t>ﾉｸﾞﾁ ﾋﾃﾞｷ</t>
  </si>
  <si>
    <t>森宗　正義</t>
  </si>
  <si>
    <t>ﾓﾘｿｳ ﾏｻﾖｼ</t>
  </si>
  <si>
    <t>山上　泰功</t>
  </si>
  <si>
    <t>ﾔﾏｶﾞﾐ ﾀｲｺｳ</t>
  </si>
  <si>
    <t>操田　祐哉</t>
  </si>
  <si>
    <t>ｸﾞﾘﾀ ﾕｳﾔ</t>
  </si>
  <si>
    <t>滝澤　隆介</t>
  </si>
  <si>
    <t>ﾀｷｻﾞﾜ ﾘｭｳｽｹ</t>
  </si>
  <si>
    <t>佐々木　拓海</t>
  </si>
  <si>
    <t>ｻｻｷ ﾀｸﾐ</t>
  </si>
  <si>
    <t>瀬良　法矢</t>
  </si>
  <si>
    <t>ｾﾗ ﾉﾘﾔ</t>
  </si>
  <si>
    <t>中野　博善</t>
  </si>
  <si>
    <t>ﾅｶﾉ ﾋﾛﾖｼ</t>
  </si>
  <si>
    <t>島根県立大学</t>
  </si>
  <si>
    <t>木村　進之介</t>
  </si>
  <si>
    <t>ｷﾑﾗ ｼﾝﾉｽｹ</t>
  </si>
  <si>
    <t>水木　尚志</t>
  </si>
  <si>
    <t>ﾐｽﾞｷ ﾀｶｼ</t>
  </si>
  <si>
    <t>髙尾　愛斗</t>
  </si>
  <si>
    <t>ﾀｶｵ ｱｲﾄ</t>
  </si>
  <si>
    <t>髙橋　賢太郎</t>
  </si>
  <si>
    <t>ﾀｶﾊｼ ｹﾝﾀﾛｳ</t>
  </si>
  <si>
    <t>清水　星輝</t>
  </si>
  <si>
    <t>ｼﾐｽﾞ ｾｲｷ</t>
  </si>
  <si>
    <t>井上　修也</t>
  </si>
  <si>
    <t>ｲﾉｳｴ ｼｭｳﾔ</t>
  </si>
  <si>
    <t>猪俣　暁</t>
  </si>
  <si>
    <t>ｲﾉﾏﾀ ｱｷﾗ</t>
  </si>
  <si>
    <t>上田　和志</t>
  </si>
  <si>
    <t>ｳｴﾀﾞ ｶｽﾞｼ</t>
  </si>
  <si>
    <t>岡田 久人</t>
  </si>
  <si>
    <t>ｵｶﾀﾞ ﾋｻﾄ</t>
  </si>
  <si>
    <t>加瀬谷　直希</t>
  </si>
  <si>
    <t>ｶｾｶﾞｲ ﾅｵｷ</t>
  </si>
  <si>
    <t>菅野　涼太</t>
  </si>
  <si>
    <t>ｽｶﾞﾉ ﾘｮｳﾀ</t>
  </si>
  <si>
    <t>髙　裕登</t>
  </si>
  <si>
    <t>ﾀｶ ﾋﾛﾄ</t>
  </si>
  <si>
    <t>高井　健多</t>
  </si>
  <si>
    <t>ﾀｶｲ ｹﾝﾀ</t>
  </si>
  <si>
    <t>中野　敬太</t>
  </si>
  <si>
    <t>ﾅｶﾉ ｹｲﾀ</t>
  </si>
  <si>
    <t>永尾　航平</t>
  </si>
  <si>
    <t>ﾅｶﾞｵ ｺｳﾍｲ</t>
  </si>
  <si>
    <t>中村　奨太</t>
  </si>
  <si>
    <t>ﾅｶﾑﾗ ｼｮｳﾀ</t>
  </si>
  <si>
    <t>西村　聡一郎</t>
  </si>
  <si>
    <t>ﾆｼﾑﾗ ｿｳｲﾁﾛｳ</t>
  </si>
  <si>
    <t>平山　浩治</t>
  </si>
  <si>
    <t>ﾋﾗﾔﾏ ｺｳｼﾞ</t>
  </si>
  <si>
    <t>広川　太佑斗</t>
  </si>
  <si>
    <t>ﾋﾛｶﾜ ﾀﾕﾄ</t>
  </si>
  <si>
    <t>福嶋　晃</t>
  </si>
  <si>
    <t>ﾌｸｼﾏ ｱｷﾗ</t>
  </si>
  <si>
    <t>藤野　孝太郎</t>
  </si>
  <si>
    <t>ﾌｼﾞﾉ ｺｳﾀﾛｳ</t>
  </si>
  <si>
    <t>宮本　葵</t>
  </si>
  <si>
    <t>ﾐﾔﾓﾄ ｱｵｲ</t>
  </si>
  <si>
    <t>杢　健寛</t>
  </si>
  <si>
    <t>ﾓｸ ﾀｹﾋﾛ</t>
  </si>
  <si>
    <t>佐々木　渉</t>
  </si>
  <si>
    <t>ｻｻｷ ﾜﾀﾙ</t>
  </si>
  <si>
    <t>清水　謙悟</t>
    <rPh sb="4" eb="5">
      <t>ゴ</t>
    </rPh>
    <phoneticPr fontId="2"/>
  </si>
  <si>
    <t>ｼﾐｽﾞ ｹﾝｺﾞ</t>
  </si>
  <si>
    <t>平野　一輝</t>
  </si>
  <si>
    <t>ﾋﾗﾉ ｶｽﾞｷ</t>
  </si>
  <si>
    <t>首藤　彰吾</t>
  </si>
  <si>
    <t>ｼｭﾄｳ ｼｮｳｺﾞ</t>
  </si>
  <si>
    <t>石田　健人</t>
  </si>
  <si>
    <t>ｲｼﾀﾞ ﾀｹﾋﾄ</t>
  </si>
  <si>
    <t>岡崎　駿介</t>
  </si>
  <si>
    <t>ｵｶｻﾞｷ ｼｭﾝｽｹ</t>
  </si>
  <si>
    <t>佐賀　祐介</t>
  </si>
  <si>
    <t>ｻｶﾞ ﾕｳｽｹ</t>
  </si>
  <si>
    <t>平野　亮介</t>
  </si>
  <si>
    <t>ﾋﾗﾉ ﾘｮｳｽｹ</t>
  </si>
  <si>
    <t>松本　真澄</t>
  </si>
  <si>
    <t>ﾏﾂﾓﾄ ﾏｽﾐ</t>
  </si>
  <si>
    <t>水下　啓介</t>
  </si>
  <si>
    <t>ﾐｽﾞｼﾀ ｹｲｽｹ</t>
  </si>
  <si>
    <t>山本　響</t>
  </si>
  <si>
    <t>ﾔﾏﾓﾄ ﾋﾋﾞｷ</t>
  </si>
  <si>
    <t>三宅　祥太</t>
  </si>
  <si>
    <t>ﾐﾔｹ ｼｮｳﾀ</t>
  </si>
  <si>
    <t>貝田　航</t>
  </si>
  <si>
    <t>ｶｲﾀ ﾜﾀﾙ</t>
  </si>
  <si>
    <t>綾田　圭祐</t>
  </si>
  <si>
    <t>ｱﾔﾀ ｹｲｽｹ</t>
  </si>
  <si>
    <t>藤田　光貴</t>
  </si>
  <si>
    <t>ﾌｼﾞﾀ ｺｳｷ</t>
  </si>
  <si>
    <t>松村　和希</t>
  </si>
  <si>
    <t>ﾏﾂﾑﾗ ｶｽﾞｷ</t>
  </si>
  <si>
    <t>田中　和総</t>
  </si>
  <si>
    <t>ﾀﾅｶ ｶｽﾞｻ</t>
  </si>
  <si>
    <t>木村　翔</t>
  </si>
  <si>
    <t>ｷﾑﾗ ｼｮｳ</t>
  </si>
  <si>
    <t>小坂　海登</t>
  </si>
  <si>
    <t>ｺｻｶ ｶｲﾄ</t>
  </si>
  <si>
    <t>安野　雄人</t>
  </si>
  <si>
    <t>ﾔｽﾉ ﾀｹﾄ</t>
  </si>
  <si>
    <t>長岡　真希</t>
  </si>
  <si>
    <t>ﾅｶﾞｵｶ ﾏｻｷ</t>
  </si>
  <si>
    <t>額田　直弥</t>
  </si>
  <si>
    <t>ﾇｶﾀ ﾅｵﾔ</t>
  </si>
  <si>
    <t>國吉　環</t>
  </si>
  <si>
    <t>ｸﾆﾖｼ ﾀﾏｷ</t>
  </si>
  <si>
    <t>小谷　勇気</t>
  </si>
  <si>
    <t>ｺﾀﾆ ﾕｳｷ</t>
  </si>
  <si>
    <t>林　生萌</t>
  </si>
  <si>
    <t>ﾊﾔｼ ｲｸﾓ</t>
  </si>
  <si>
    <t>森野　勇輝</t>
  </si>
  <si>
    <t>ﾓﾘﾉ ﾕｳｷ</t>
  </si>
  <si>
    <t>三原　涼</t>
  </si>
  <si>
    <t>ﾐﾊﾗ ﾘｮｳ</t>
  </si>
  <si>
    <t>沖元　翔</t>
  </si>
  <si>
    <t>ｵｷﾓﾄ ｼｮｳ</t>
  </si>
  <si>
    <t>村田　和也</t>
  </si>
  <si>
    <t>ﾑﾗﾀ ｶｽﾞﾔ</t>
  </si>
  <si>
    <t>松枝　康太</t>
  </si>
  <si>
    <t>ﾏﾂｴﾀﾞ ｺｳﾀ</t>
  </si>
  <si>
    <t>柏原　黎</t>
  </si>
  <si>
    <t>ｶｼﾜﾊﾞﾗ ﾚｲ</t>
  </si>
  <si>
    <t>清水　良太</t>
  </si>
  <si>
    <t>ｼﾐｽﾞ ﾘｮｳﾀ</t>
  </si>
  <si>
    <t>中寺　康介</t>
  </si>
  <si>
    <t>ﾅｶﾃﾞﾗ ｺｳｽｹ</t>
  </si>
  <si>
    <t>本多　友稀</t>
  </si>
  <si>
    <t>ﾎﾝﾀﾞ ﾕｳｷ</t>
  </si>
  <si>
    <t>下関市立大学</t>
  </si>
  <si>
    <t>田内　祥汰</t>
  </si>
  <si>
    <t>ﾀｳﾁ ｼｮｳﾀ</t>
  </si>
  <si>
    <t>岡田　侑己</t>
  </si>
  <si>
    <t>ｵｶﾀﾞ ﾕｳｷ</t>
  </si>
  <si>
    <t>倉田　佳朋</t>
  </si>
  <si>
    <t>ｸﾗﾀ ﾖｼﾄﾓ</t>
  </si>
  <si>
    <t>北村　拓也</t>
  </si>
  <si>
    <t>ｷﾀﾑﾗ ﾀｸﾔ</t>
  </si>
  <si>
    <t>奥村　康大</t>
  </si>
  <si>
    <t>ｵｸﾑﾗ ｺｳﾀﾞｲ</t>
  </si>
  <si>
    <t>東　祐弥</t>
  </si>
  <si>
    <t>ﾋｶﾞｼ ﾕｳﾔ</t>
  </si>
  <si>
    <t>末國　知弥</t>
  </si>
  <si>
    <t>ｽｴｸﾆ ｶｽﾞﾔ</t>
  </si>
  <si>
    <t>桑原　卓也</t>
  </si>
  <si>
    <t>ｸﾜﾊﾞﾗ ﾀｸﾔ</t>
  </si>
  <si>
    <t>北村　大将</t>
  </si>
  <si>
    <t>ｷﾀﾑﾗ ﾋﾛﾏｻ</t>
  </si>
  <si>
    <t>伊津野　匠</t>
  </si>
  <si>
    <t>ｲｽﾞﾉ ﾀｸﾐ</t>
  </si>
  <si>
    <t>樋渡　大旗</t>
  </si>
  <si>
    <t>ﾋﾜﾀｼ ﾀﾞｲｷ</t>
  </si>
  <si>
    <t>西尾　翔太</t>
  </si>
  <si>
    <t>ﾆｼｵ ｼｮｳﾀ</t>
  </si>
  <si>
    <t>池田　聖也</t>
  </si>
  <si>
    <t>ｲｹﾀﾞ ｾｲﾔ</t>
  </si>
  <si>
    <t>徳島大学</t>
  </si>
  <si>
    <t>秦　啓訓</t>
  </si>
  <si>
    <t>ﾊﾀ ﾋﾛﾉﾘ</t>
  </si>
  <si>
    <t>山下　喬平</t>
  </si>
  <si>
    <t>ﾔﾏｼﾀ ｷｮｳﾍｲ</t>
  </si>
  <si>
    <t>谷口　翔</t>
  </si>
  <si>
    <t>ﾀﾆｸﾞﾁ ｼｮｳ</t>
  </si>
  <si>
    <t>髙谷　真弘</t>
  </si>
  <si>
    <t>ﾀｶﾀﾆ ﾏｻﾋﾛ</t>
  </si>
  <si>
    <t>奥野　昌樹</t>
  </si>
  <si>
    <t>ｵｸﾉ ﾏｻｷ</t>
  </si>
  <si>
    <t>松田　浩宗</t>
  </si>
  <si>
    <t>ﾏﾂﾀﾞ ﾋﾛﾑﾈ</t>
  </si>
  <si>
    <t>田村　公</t>
  </si>
  <si>
    <t>ﾀﾑﾗ ｺｳ</t>
  </si>
  <si>
    <t>渡部　和秀</t>
  </si>
  <si>
    <t>ﾜﾀﾅﾍﾞ ｶｽﾞﾋﾃﾞ</t>
  </si>
  <si>
    <t>蓮池　祥大</t>
  </si>
  <si>
    <t>ﾊｽｲｹ ｼｮｳﾀ</t>
  </si>
  <si>
    <t>堀江　佳弘</t>
  </si>
  <si>
    <t>ﾎﾘｴ ﾖｼﾋﾛ</t>
  </si>
  <si>
    <t>岡田　直人</t>
  </si>
  <si>
    <t>ｵｶﾀﾞ ﾅｵﾄ</t>
  </si>
  <si>
    <t>谷口　誠崇</t>
  </si>
  <si>
    <t>ﾀﾆｸﾞﾁ ﾏｻﾀｶ</t>
  </si>
  <si>
    <t>小村　隆哉</t>
  </si>
  <si>
    <t>ｵﾑﾗ ﾀｶﾔ</t>
  </si>
  <si>
    <t>坂東　佳祐</t>
  </si>
  <si>
    <t>ﾊﾞﾝﾄﾞｳ ｹｲｽｹ</t>
  </si>
  <si>
    <t>山本　大貴</t>
  </si>
  <si>
    <t>ﾔﾏﾓﾄ ﾀｲｷ</t>
  </si>
  <si>
    <t>矢野　司</t>
  </si>
  <si>
    <t>ﾔﾉ ﾂｶｻ</t>
  </si>
  <si>
    <t>山本　竜也</t>
  </si>
  <si>
    <t>ﾔﾏﾓﾄ ﾘｭｳﾔ</t>
  </si>
  <si>
    <t>田坂　直也</t>
  </si>
  <si>
    <t>ﾀｻｶ ﾅｵﾔ</t>
  </si>
  <si>
    <t>河角　敬太</t>
  </si>
  <si>
    <t>ｶﾜｶﾄﾞ ｹｲﾀ</t>
  </si>
  <si>
    <t>上田　真大</t>
  </si>
  <si>
    <t>ｳｴﾀﾞ ﾏｻﾋﾛ</t>
  </si>
  <si>
    <t>佐々木　拡志</t>
  </si>
  <si>
    <t>ｻｻｷ ﾋﾛﾕｷ</t>
  </si>
  <si>
    <t>川上　晃樹</t>
  </si>
  <si>
    <t>ｶﾜｶﾐ ｺｳｷ</t>
  </si>
  <si>
    <t>新井　宗晃</t>
  </si>
  <si>
    <t>ｱﾗｲ ﾑﾈｱｷ</t>
  </si>
  <si>
    <t>高橋　知滉</t>
  </si>
  <si>
    <t>ﾀｶﾊｼ ﾄﾓﾋﾛ</t>
  </si>
  <si>
    <t>新田　凌也</t>
  </si>
  <si>
    <t>ﾆｯﾀ ﾘｮｳﾔ</t>
  </si>
  <si>
    <t>加来　真一</t>
  </si>
  <si>
    <t>ｶｸ ｼﾝｲﾁ</t>
  </si>
  <si>
    <t>浅見　優介</t>
  </si>
  <si>
    <t>ｱｻﾐ ﾕｳｽｹ</t>
  </si>
  <si>
    <t>平田　和哉</t>
  </si>
  <si>
    <t>ﾋﾗﾀ ｶｽﾞﾔ</t>
  </si>
  <si>
    <t>尾道市立大学</t>
  </si>
  <si>
    <t>谷口　亮太</t>
  </si>
  <si>
    <t>ﾀﾆｸﾞﾁ ﾘｮｳﾀ</t>
  </si>
  <si>
    <t>植木　那由多</t>
  </si>
  <si>
    <t>ｳｴｷ ﾅﾕﾀ</t>
  </si>
  <si>
    <t>後藤　剛</t>
  </si>
  <si>
    <t>ｺﾞﾄｳ ﾂﾖｼ</t>
  </si>
  <si>
    <t>土井　章</t>
  </si>
  <si>
    <t>ﾄﾞｲ ｱｷﾗ</t>
  </si>
  <si>
    <t>濵野　友希豊</t>
  </si>
  <si>
    <t>ﾊﾏﾉ ﾕｷﾄ</t>
  </si>
  <si>
    <t>仙波　貴雅</t>
  </si>
  <si>
    <t>ｾﾝﾊﾞ ﾀｶﾉﾘ</t>
  </si>
  <si>
    <t>田井　祐介</t>
  </si>
  <si>
    <t>ﾀｲ ﾕｳｽｹ</t>
  </si>
  <si>
    <t>石井　裕太</t>
  </si>
  <si>
    <t>ｲｼｲ ﾕｳﾀ</t>
  </si>
  <si>
    <t>岩口　周平</t>
  </si>
  <si>
    <t>ｲﾜｸﾞﾁ ｼｭｳﾍｲ</t>
  </si>
  <si>
    <t>勝部　諒</t>
  </si>
  <si>
    <t>ｶﾂﾍﾞ ﾏｺﾄ</t>
  </si>
  <si>
    <t>小橋　佑介</t>
  </si>
  <si>
    <t>ｺﾊﾞｼ ﾕｳｽｹ</t>
  </si>
  <si>
    <t>清水　貴彦</t>
  </si>
  <si>
    <t>ｼﾐｽﾞ ﾀｶﾋｺ</t>
  </si>
  <si>
    <t>田中　善將</t>
    <rPh sb="3" eb="4">
      <t>ヨシ</t>
    </rPh>
    <phoneticPr fontId="2"/>
  </si>
  <si>
    <t>ﾀﾅｶ ﾖｼﾏｻ</t>
  </si>
  <si>
    <t>田村 凌太</t>
  </si>
  <si>
    <t>ﾀﾑﾗ ﾘｮｳﾀ</t>
  </si>
  <si>
    <t>戸井　大輝</t>
  </si>
  <si>
    <t>ﾄｲ ﾀﾞｲｷ</t>
  </si>
  <si>
    <t>中川　大貴</t>
  </si>
  <si>
    <t>ﾅｶｶﾞﾜ ﾋﾛｷ</t>
  </si>
  <si>
    <t>野田　啓介</t>
  </si>
  <si>
    <t>ﾉﾀﾞ ｹｲｽｹ</t>
  </si>
  <si>
    <t>旗谷　守将</t>
  </si>
  <si>
    <t>ﾊﾀﾔ ﾓﾘﾏｻ</t>
  </si>
  <si>
    <t>日浦　隼人</t>
  </si>
  <si>
    <t>ﾋｳﾗ ﾊﾔﾄ</t>
  </si>
  <si>
    <t>平尾　良太</t>
  </si>
  <si>
    <t>ﾋﾗｵ ﾘｮｳﾀ</t>
  </si>
  <si>
    <t>村田　侑亮</t>
  </si>
  <si>
    <t>ﾑﾗﾀ ﾕｳｽｹ</t>
  </si>
  <si>
    <t>渡辺　太之</t>
  </si>
  <si>
    <t>ﾜﾀﾅﾍﾞ ﾀｶﾕｷ</t>
  </si>
  <si>
    <t>芦原　宏介</t>
  </si>
  <si>
    <t>ｱｼﾊﾗ ｺｳｽｹ</t>
  </si>
  <si>
    <t>伊藤　雄大</t>
  </si>
  <si>
    <t>ｲﾄｳ ﾕｳﾀﾞｲ</t>
  </si>
  <si>
    <t>大寺　建光</t>
  </si>
  <si>
    <t>ｵｵﾃﾗ ﾀｹﾙ</t>
  </si>
  <si>
    <t>岡田　宗一郎</t>
  </si>
  <si>
    <t>ｵｶﾀﾞ ｿｳｲﾁﾛｳ</t>
  </si>
  <si>
    <t>黒田　剛志</t>
  </si>
  <si>
    <t>ｸﾛﾀﾞ ﾂﾖｼ</t>
  </si>
  <si>
    <t>清水　康孝</t>
  </si>
  <si>
    <t>ｼﾐｽﾞ ﾔｽﾀｶ</t>
  </si>
  <si>
    <t>杉原　祥</t>
  </si>
  <si>
    <t>ｽｷﾞﾊﾗ ｼｮｳ</t>
  </si>
  <si>
    <t>関谷　堂真</t>
  </si>
  <si>
    <t>ｾｷﾔ ﾀｶﾏｻ</t>
  </si>
  <si>
    <t>中野　晶</t>
  </si>
  <si>
    <t>ﾅｶﾉ ｼｮｳ</t>
  </si>
  <si>
    <t>中村　喜浩</t>
  </si>
  <si>
    <t>ﾅｶﾑﾗ ﾖｼﾋﾛ</t>
  </si>
  <si>
    <t>林　佑磨</t>
  </si>
  <si>
    <t>ﾊﾔｼ ﾕｳﾏ</t>
  </si>
  <si>
    <t>細田　善也</t>
  </si>
  <si>
    <t>ﾎｿﾀﾞ ﾖｼﾔ</t>
  </si>
  <si>
    <t>丸山　晃嗣</t>
  </si>
  <si>
    <t>ﾏﾙﾔﾏ ｱｷﾂｸﾞ</t>
  </si>
  <si>
    <t>宮地　孝治</t>
  </si>
  <si>
    <t>ﾐﾔｼﾞ ﾀｶﾊﾙ</t>
  </si>
  <si>
    <t>村上　聡</t>
  </si>
  <si>
    <t>ﾑﾗｶﾐ ｻﾄｼ</t>
  </si>
  <si>
    <t>浅野　仁</t>
  </si>
  <si>
    <t>ｱｻﾉ ﾋﾄｼ</t>
  </si>
  <si>
    <t>粟津　佑太</t>
  </si>
  <si>
    <t>ｱﾜﾂﾞ ﾕｳﾀ</t>
  </si>
  <si>
    <t>江國 公哉</t>
  </si>
  <si>
    <t>ｴｸﾆ ｺｳﾔ</t>
  </si>
  <si>
    <t>大江　将樹</t>
  </si>
  <si>
    <t>ｵｵｴ ﾏｻｷ</t>
  </si>
  <si>
    <t>大塚　友貴</t>
  </si>
  <si>
    <t>ｵｵﾂｶ ﾕｳｷ</t>
  </si>
  <si>
    <t>岡﨑　一樹</t>
  </si>
  <si>
    <t>ｵｶｻﾞｷ ｶｽﾞｷ</t>
  </si>
  <si>
    <t>小畑　友也</t>
  </si>
  <si>
    <t>ｵﾊﾞﾀ ﾕｳﾔ</t>
  </si>
  <si>
    <t>影山　大恩</t>
  </si>
  <si>
    <t>ｶｹﾞﾔﾏ ﾀﾞｲﾁ</t>
  </si>
  <si>
    <t>神田　佳希</t>
  </si>
  <si>
    <t>ｶﾝﾀﾞ ﾖｼｷ</t>
  </si>
  <si>
    <t>廣本　朋哉</t>
  </si>
  <si>
    <t>ｺｳﾓﾄ ﾄﾓﾔ</t>
  </si>
  <si>
    <t>甲山　茂展</t>
  </si>
  <si>
    <t>ｺｳﾔﾏ ｼｹﾞﾉﾌﾞ</t>
  </si>
  <si>
    <t>小林　雄斗</t>
  </si>
  <si>
    <t>ｺﾊﾞﾔｼ ﾕｳﾄ</t>
  </si>
  <si>
    <t>坂田　悠貴</t>
  </si>
  <si>
    <t>ｻｶﾀ ﾕｳｷ</t>
  </si>
  <si>
    <t>佐々木　仁哉</t>
  </si>
  <si>
    <t>ｻｻｷ ﾏｻﾔ</t>
  </si>
  <si>
    <t>首藤　啓孝</t>
  </si>
  <si>
    <t>ｼｭﾄｳ ﾖｼﾀｶ</t>
  </si>
  <si>
    <t>棚池　祐馬</t>
  </si>
  <si>
    <t>ﾀﾅｲｹ ﾕｳﾏ</t>
  </si>
  <si>
    <t>當座　涼平</t>
  </si>
  <si>
    <t>ﾄｳｻﾞ ﾘｮｳﾍｲ</t>
  </si>
  <si>
    <t>中尾　拓史</t>
  </si>
  <si>
    <t>ﾅｶｵ ﾋﾛｼ</t>
  </si>
  <si>
    <t>濱田　健太郎</t>
  </si>
  <si>
    <t>ﾊﾏﾀﾞ ｹﾝﾀﾛｳ</t>
  </si>
  <si>
    <t>平井　達也</t>
  </si>
  <si>
    <t>ﾋﾗｲ ﾀﾂﾔ</t>
  </si>
  <si>
    <t>福田　航希</t>
  </si>
  <si>
    <t>ﾌｸﾀﾞ ｺｳｷ</t>
  </si>
  <si>
    <t>宮川　慶太</t>
  </si>
  <si>
    <t>ﾐﾔｶﾞﾜ ｹｲﾀ</t>
  </si>
  <si>
    <t>岡山県立大学</t>
  </si>
  <si>
    <t>沖　俊典</t>
  </si>
  <si>
    <t>ｵｷ ﾄｼﾉﾘ</t>
  </si>
  <si>
    <t>北野　大志</t>
  </si>
  <si>
    <t>ｷﾀﾉ ﾀｲｼ</t>
  </si>
  <si>
    <t>倉嶋　謙吾</t>
  </si>
  <si>
    <t>ｸﾗｼﾏ ｹﾝｺﾞ</t>
  </si>
  <si>
    <t>鈴木　寛也</t>
  </si>
  <si>
    <t>ｽｽﾞｷ ﾋﾛﾔ</t>
  </si>
  <si>
    <t>石塚　寛隆</t>
  </si>
  <si>
    <t>ｲｼﾂﾞｶ ﾋﾛﾀｶ</t>
  </si>
  <si>
    <t>坂本　裕太</t>
  </si>
  <si>
    <t>筒川　拓磨</t>
  </si>
  <si>
    <t>ﾂﾂｶﾜ ﾀｸﾏ</t>
  </si>
  <si>
    <t>鎌田　真平</t>
  </si>
  <si>
    <t>ｶﾏﾀﾞ ｼﾝﾍﾟｲ</t>
  </si>
  <si>
    <t>田中　智哲</t>
  </si>
  <si>
    <t>橋本　杏介</t>
  </si>
  <si>
    <t>ﾊｼﾓﾄ ｷｮｳｽｹ</t>
  </si>
  <si>
    <t>長谷川　大地</t>
  </si>
  <si>
    <t>ﾊｾｶﾞﾜ ﾀﾞｲﾁ</t>
  </si>
  <si>
    <t>安達　太一</t>
  </si>
  <si>
    <t>ｱﾀﾞﾁ ﾀｲﾁ</t>
  </si>
  <si>
    <t>福永　雅大</t>
    <rPh sb="4" eb="5">
      <t>ダイ</t>
    </rPh>
    <phoneticPr fontId="2"/>
  </si>
  <si>
    <t>ﾌｸﾅｶﾞ ﾏｻﾋﾛ</t>
  </si>
  <si>
    <t>安田　理人</t>
  </si>
  <si>
    <t>ﾔｽﾀﾞ ﾘﾄ</t>
  </si>
  <si>
    <t>四国学院大学</t>
  </si>
  <si>
    <t>織田　浩人</t>
  </si>
  <si>
    <t>ｵﾀﾞ ﾋﾛﾄ</t>
  </si>
  <si>
    <t>白玖　和弥</t>
  </si>
  <si>
    <t>ﾊｸ ｶｽﾞﾔ</t>
  </si>
  <si>
    <t>金井　仁志</t>
  </si>
  <si>
    <t>ｶﾅｲ ﾋﾄｼ</t>
  </si>
  <si>
    <t>鳥取大学</t>
  </si>
  <si>
    <t>佐々木　仁士</t>
  </si>
  <si>
    <t>ｻｻｷ ﾋﾄｼ</t>
  </si>
  <si>
    <t>小林　毅司</t>
  </si>
  <si>
    <t>ｺﾊﾞﾔｼ ﾀｹｼ</t>
  </si>
  <si>
    <t>石黒　貴利</t>
  </si>
  <si>
    <t>ｲｼｸﾞﾛ ﾀｶﾄｼ</t>
  </si>
  <si>
    <t>片山　悠綺</t>
  </si>
  <si>
    <t>ｶﾀﾔﾏ ﾕｳｷ</t>
  </si>
  <si>
    <t>近藤　貴大</t>
  </si>
  <si>
    <t>ｺﾝﾄﾞｳ ﾀｶﾋﾛ</t>
  </si>
  <si>
    <t>竹内　瞭</t>
  </si>
  <si>
    <t>ﾀｹｳﾁ ﾘｮｳ</t>
  </si>
  <si>
    <t>高田　真資</t>
  </si>
  <si>
    <t>ﾀｶﾀﾞ ﾏｻｼ</t>
  </si>
  <si>
    <t>山本　昴久</t>
  </si>
  <si>
    <t>ﾔﾏﾓﾄ ﾀｶﾋｻ</t>
  </si>
  <si>
    <t>伊藤　諒祐</t>
  </si>
  <si>
    <t>ｲﾄｳ ﾘｮｳｽｹ</t>
  </si>
  <si>
    <t>岡井　陽平</t>
  </si>
  <si>
    <t>ｵｶｲ ﾖｳﾍｲ</t>
  </si>
  <si>
    <t>笠原　健太</t>
  </si>
  <si>
    <t>ｶｻﾊﾗ ｹﾝﾀ</t>
  </si>
  <si>
    <t>坂本　諒</t>
  </si>
  <si>
    <t>ｻｶﾓﾄ ﾘｮｳ</t>
  </si>
  <si>
    <t>豊田　圭</t>
  </si>
  <si>
    <t>ﾄﾖﾀ ｹｲ</t>
  </si>
  <si>
    <t>額田　幸佑</t>
  </si>
  <si>
    <t>ﾇｶﾀﾞ ｺｳｽｹ</t>
  </si>
  <si>
    <t>山崎　幸輔</t>
  </si>
  <si>
    <t>ﾔﾏｻｷ ｺｳｽｹ</t>
  </si>
  <si>
    <t>山地　拓哉</t>
  </si>
  <si>
    <t>ﾔﾏｼﾞ ﾀｸﾔ</t>
  </si>
  <si>
    <t>深澤　豊武</t>
  </si>
  <si>
    <t>ﾌｶｻﾜ ﾄﾑ</t>
  </si>
  <si>
    <t>澤田　将平</t>
  </si>
  <si>
    <t>ｻﾜﾀ ｼｮｳﾍｲ</t>
  </si>
  <si>
    <t>吉田　諒</t>
  </si>
  <si>
    <t>ﾖｼﾀﾞ ﾘｮｳ</t>
  </si>
  <si>
    <t>前垣　雅哉</t>
  </si>
  <si>
    <t>ﾏｴｶﾞｷ ﾏｻﾔ</t>
  </si>
  <si>
    <t>青江　康貴</t>
  </si>
  <si>
    <t>ｱｵｴ ﾔｽﾀｶ</t>
  </si>
  <si>
    <t>妻木　裕太郎</t>
  </si>
  <si>
    <t>ﾂﾏｷ ﾕｳﾀﾛｳ</t>
  </si>
  <si>
    <t>原　健太朗</t>
  </si>
  <si>
    <t>ﾊﾗ ｹﾝﾀﾛｳ</t>
  </si>
  <si>
    <t>藤居　研考</t>
  </si>
  <si>
    <t>ﾌｼﾞｲ ｹﾝｺｳ</t>
  </si>
  <si>
    <t>池田　弘佑</t>
  </si>
  <si>
    <t>ｲｹﾀﾞ ｺｳｽｹ</t>
  </si>
  <si>
    <t>大林　史明</t>
  </si>
  <si>
    <t>ｵｵﾊﾞﾔｼ ﾌﾐｱｷ</t>
  </si>
  <si>
    <t>藤田　佳委</t>
  </si>
  <si>
    <t>ﾌｼﾞﾀ ｶｲ</t>
  </si>
  <si>
    <t>木下　亮</t>
  </si>
  <si>
    <t>ｷﾉｼﾀ ﾘｮｳ</t>
  </si>
  <si>
    <t>田中　利希</t>
  </si>
  <si>
    <t>ﾀﾅｶ ﾄｼｷ</t>
  </si>
  <si>
    <t>市原　大輝</t>
  </si>
  <si>
    <t>ｲﾁﾊﾗ ﾀﾞｲｷ</t>
  </si>
  <si>
    <t>神戸　勇太</t>
  </si>
  <si>
    <t>ｶﾝﾍﾞ ﾕｳﾀ</t>
  </si>
  <si>
    <t>環太平洋大学</t>
  </si>
  <si>
    <t>小倉　希望</t>
  </si>
  <si>
    <t>ｵｸﾞﾗ ﾉｿﾞﾑ</t>
  </si>
  <si>
    <t>下瀬　翔貴</t>
  </si>
  <si>
    <t>ｼﾓｾ ｼｮｳｷ</t>
  </si>
  <si>
    <t>池田　健悟</t>
  </si>
  <si>
    <t>ｲｹﾀﾞ ｹﾝｺﾞ</t>
  </si>
  <si>
    <t>岩崎　純也</t>
  </si>
  <si>
    <t>ｲﾜｻｷ ｼﾞｭﾝﾔ</t>
  </si>
  <si>
    <t>岡　高儀</t>
  </si>
  <si>
    <t>ｵｶ ﾀｶﾉﾘ</t>
  </si>
  <si>
    <t>岡田　翔吾</t>
  </si>
  <si>
    <t>ｵｶﾀﾞ ｼｮｳｺﾞ</t>
  </si>
  <si>
    <t>蔭藤　拓弥</t>
  </si>
  <si>
    <t>ｶｹﾞﾌｼﾞ ﾀｸﾔ</t>
  </si>
  <si>
    <t>亀田　浩司</t>
  </si>
  <si>
    <t>ｶﾒﾀﾞ ｺｳｼﾞ</t>
  </si>
  <si>
    <t>河井　和馬</t>
  </si>
  <si>
    <t>ｶﾜｲ ｶｽﾞﾏ</t>
  </si>
  <si>
    <t>川村　健太</t>
  </si>
  <si>
    <t>ｶﾜﾑﾗ ｹﾝﾀ</t>
  </si>
  <si>
    <t>木村　恭士</t>
  </si>
  <si>
    <t>ｷﾑﾗ ｷｮｳｼﾞ</t>
  </si>
  <si>
    <t>黒川　慧</t>
  </si>
  <si>
    <t>ｸﾛｶﾜ ｹｲ</t>
  </si>
  <si>
    <t>黒川　周平</t>
  </si>
  <si>
    <t>ｸﾛｶﾜ ｼｭｳﾍｲ</t>
  </si>
  <si>
    <t>下敷領　耕平</t>
  </si>
  <si>
    <t>ｼﾓｼｷﾘｮｳ ｺｳﾍｲ</t>
  </si>
  <si>
    <t>角野　大和</t>
  </si>
  <si>
    <t>ｽﾐﾉ ﾔﾏﾄ</t>
  </si>
  <si>
    <t>関山　真弥</t>
  </si>
  <si>
    <t>ｾｷﾔﾏ ｼﾝﾔ</t>
  </si>
  <si>
    <t>竹内　勇斗</t>
  </si>
  <si>
    <t>武本　雅富</t>
  </si>
  <si>
    <t>ﾀｹﾓﾄ ﾏｻﾄﾐ</t>
  </si>
  <si>
    <t>手石　妙亮</t>
  </si>
  <si>
    <t>ﾃｲｼ ﾀﾀﾞｽｹ</t>
  </si>
  <si>
    <t>浜崎　慎也</t>
  </si>
  <si>
    <t>ﾊﾏｻｷ ｼﾝﾔ</t>
  </si>
  <si>
    <t>藤原　祐太郎</t>
  </si>
  <si>
    <t>ﾌｼﾞﾜﾗ ﾕｳﾀﾛｳ</t>
  </si>
  <si>
    <t>丸口　悠貴</t>
  </si>
  <si>
    <t>ﾏﾙｸﾞﾁ ﾕｳｷ</t>
  </si>
  <si>
    <t>宮本　晃貴</t>
  </si>
  <si>
    <t>ﾐﾔﾓﾄ ｺｳｷ</t>
  </si>
  <si>
    <t>松尾　黛樹</t>
  </si>
  <si>
    <t>ﾏﾂｵ ﾀｲｷ</t>
  </si>
  <si>
    <t>横山　佳佑</t>
  </si>
  <si>
    <t>ﾖｺﾔﾏ ｹｲｽｹ</t>
  </si>
  <si>
    <t>吉野　正紘</t>
  </si>
  <si>
    <t>ﾖｼﾉ ﾏｻﾋﾛ</t>
  </si>
  <si>
    <t>吉田　直矢</t>
  </si>
  <si>
    <t>ﾖｼﾀﾞ ﾅｵﾔ</t>
  </si>
  <si>
    <t>吉村　海澄</t>
  </si>
  <si>
    <t>ﾖｼﾑﾗ ｶｲﾄ</t>
  </si>
  <si>
    <t>新居　拓弥</t>
  </si>
  <si>
    <t>ﾆｲ ﾀｸﾔ</t>
  </si>
  <si>
    <t>厚東　勇哉</t>
  </si>
  <si>
    <t>ｺｳﾄｳ ﾕｳﾔ</t>
  </si>
  <si>
    <t>村上　知輝</t>
  </si>
  <si>
    <t>ﾑﾗｶﾐ ﾄﾓｷ</t>
  </si>
  <si>
    <t>澁谷　新</t>
  </si>
  <si>
    <t>ｼﾌﾞﾀﾆ ｼﾝ</t>
  </si>
  <si>
    <t>刈谷　幸司</t>
  </si>
  <si>
    <t>ｶﾘﾔ ｺｳｼﾞ</t>
  </si>
  <si>
    <t>小野　恭汰</t>
  </si>
  <si>
    <t>ｵﾉ ｷｮｳﾀ</t>
  </si>
  <si>
    <t>松山　拓央</t>
  </si>
  <si>
    <t>ﾏﾂﾔﾏ ﾀｸｵ</t>
  </si>
  <si>
    <t>奥住　和晃</t>
  </si>
  <si>
    <t>ｵｸｽﾞﾐ ｶｽﾞｱｷ</t>
  </si>
  <si>
    <t>中西　光輝</t>
  </si>
  <si>
    <t>ﾅｶﾆｼ ﾐﾂｷ</t>
  </si>
  <si>
    <t>本田　望</t>
  </si>
  <si>
    <t>ﾎﾝﾀﾞ ﾉｿﾞﾐ</t>
  </si>
  <si>
    <t>丸山　孝明</t>
  </si>
  <si>
    <t>ﾏﾙﾔﾏ ﾀｶｱｷ</t>
  </si>
  <si>
    <t>岩田　力</t>
  </si>
  <si>
    <t>ｲﾜﾀ ﾁｶﾗ</t>
  </si>
  <si>
    <t>前上　駿介</t>
  </si>
  <si>
    <t>ﾏｴｶﾞﾐ ｼｭﾝｽｹ</t>
  </si>
  <si>
    <t>松岡　亮佑</t>
  </si>
  <si>
    <t>ﾏﾂｵｶ ﾘｮｳｽｹ</t>
  </si>
  <si>
    <t>荒木　慎太郎</t>
  </si>
  <si>
    <t>ｱﾗｷ ｼﾝﾀﾛｳ</t>
  </si>
  <si>
    <t>菊川　泰佑</t>
  </si>
  <si>
    <t>ｷｸｶﾞﾜ ﾀｲｽｹ</t>
  </si>
  <si>
    <t>楢木野　聖城</t>
  </si>
  <si>
    <t>ﾅﾗｷﾞﾉ ｼｮｳｾｲ</t>
  </si>
  <si>
    <t>宮崎　亮佑</t>
  </si>
  <si>
    <t>ﾐﾔｻﾞｷ ﾘｮｳｽｹ</t>
  </si>
  <si>
    <t>岡本　隆宏</t>
  </si>
  <si>
    <t>ｵｶﾓﾄ ﾀｶﾋﾛ</t>
  </si>
  <si>
    <t>川口　航輝</t>
  </si>
  <si>
    <t>ｶﾜｸﾞﾁ ｺｳｷ</t>
  </si>
  <si>
    <t>若本　拓真</t>
  </si>
  <si>
    <t>ﾜｶﾓﾄ ﾀｸﾏ</t>
  </si>
  <si>
    <t>永田　陽平</t>
  </si>
  <si>
    <t>ﾅｶﾞﾀ ﾖｳﾍｲ</t>
  </si>
  <si>
    <t>藤井　圭太</t>
  </si>
  <si>
    <t>ﾌｼﾞｲ ｹｲﾀ</t>
  </si>
  <si>
    <t>河原　翔音</t>
  </si>
  <si>
    <t>ｶﾜﾊﾗ ｼｮｵﾝ</t>
  </si>
  <si>
    <t>佐藤　嵩</t>
  </si>
  <si>
    <t>ｻﾄｳ ﾀｶｼ</t>
  </si>
  <si>
    <t>佐々木　祐弥</t>
  </si>
  <si>
    <t>ｻｻｷ ﾕｳﾔ</t>
  </si>
  <si>
    <t>薮内　良介</t>
  </si>
  <si>
    <t>ﾔﾌﾞｳﾁ ﾘｮｳｽｹ</t>
  </si>
  <si>
    <t>川上　和史</t>
  </si>
  <si>
    <t>ｶﾜｶﾐ ｶｽﾞｼ</t>
  </si>
  <si>
    <t>建部　智也</t>
  </si>
  <si>
    <t>ﾀﾃﾍﾞ ﾄﾓﾔ</t>
  </si>
  <si>
    <t>立川　歩</t>
  </si>
  <si>
    <t>ﾀﾂｶﾜ ｱﾕﾑ</t>
  </si>
  <si>
    <t>喜多　佑來</t>
  </si>
  <si>
    <t>ｷﾀ ﾕｳｷ</t>
  </si>
  <si>
    <t>岩下　康史</t>
  </si>
  <si>
    <t>ｲﾜｼﾀ ﾔｽｼ</t>
  </si>
  <si>
    <t>水田　大樹</t>
  </si>
  <si>
    <t>ﾐｽﾞﾀ ﾀﾞｲｷ</t>
  </si>
  <si>
    <t>鍵本　訓近</t>
  </si>
  <si>
    <t>ｶｷﾞﾓﾄ ﾉﾘﾁｶ</t>
  </si>
  <si>
    <t>弘瀬　将利</t>
  </si>
  <si>
    <t>ﾋﾛｾ ｼｮｳﾘ</t>
  </si>
  <si>
    <t>原　煕生</t>
  </si>
  <si>
    <t>ﾊﾗ ﾋﾛｷ</t>
  </si>
  <si>
    <t>有田　英憲</t>
  </si>
  <si>
    <t>ｱﾘﾀ ﾋﾃﾞﾉﾘ</t>
  </si>
  <si>
    <t>伊藤　大夢</t>
  </si>
  <si>
    <t>ｲﾛｳ ﾋﾛﾑ</t>
  </si>
  <si>
    <t>稲井　達也</t>
  </si>
  <si>
    <t>ｲﾅｲ ﾀﾂﾔ</t>
  </si>
  <si>
    <t>今重　貴博</t>
  </si>
  <si>
    <t>ｲﾏｼｹﾞ ﾀｶﾋﾛ</t>
  </si>
  <si>
    <t>上岡　友太</t>
  </si>
  <si>
    <t>ｳｴｵｶ ﾕｳﾀ</t>
  </si>
  <si>
    <t>奥　勇太</t>
  </si>
  <si>
    <t>ｵｸ ﾕｳﾀ</t>
  </si>
  <si>
    <t>小田　想一郎</t>
  </si>
  <si>
    <t>ｵﾀﾞ ｿｳｲﾁﾛｳ</t>
  </si>
  <si>
    <t>川合　翔大朗</t>
  </si>
  <si>
    <t>ｶﾜｲ ｼｮｳﾀﾛｳ</t>
  </si>
  <si>
    <t>河井　晴登</t>
  </si>
  <si>
    <t>ｶﾜｲ ﾊﾙﾄ</t>
  </si>
  <si>
    <t>川井田　卓也</t>
  </si>
  <si>
    <t>ｶﾜｲﾀﾞ ﾀｸﾔ</t>
  </si>
  <si>
    <t>川東　拓未</t>
  </si>
  <si>
    <t>ｶﾜﾋｶﾞｼ ﾀｸﾐ</t>
  </si>
  <si>
    <t>北野　祐介</t>
  </si>
  <si>
    <t>ｷﾀﾉ ﾕｳｽｹ</t>
  </si>
  <si>
    <t>國行　健太</t>
  </si>
  <si>
    <t>ｸﾆﾕｷ ｹﾝﾀ</t>
  </si>
  <si>
    <t>黒河　一輝</t>
  </si>
  <si>
    <t>ｸﾛｶﾜ ｶｽﾞｷ</t>
  </si>
  <si>
    <t>小柳　友也</t>
  </si>
  <si>
    <t>ｺﾔﾅｷﾞ ﾄﾓﾔ</t>
  </si>
  <si>
    <t>小山　義人</t>
  </si>
  <si>
    <t>ｺﾔﾏ ﾖｼﾄ</t>
  </si>
  <si>
    <t>坂井　宏如</t>
  </si>
  <si>
    <t>ｻｶｲ ﾋﾛﾕｷ</t>
  </si>
  <si>
    <t>坂本　有司</t>
  </si>
  <si>
    <t>ｻｶﾓﾄ ﾕｳｼﾞ</t>
  </si>
  <si>
    <t>佐藤　大城</t>
  </si>
  <si>
    <t>ｻﾄｳ ﾀﾞｲｷ</t>
  </si>
  <si>
    <t>塩満　亮太</t>
  </si>
  <si>
    <t>ｼｵﾐﾂ ﾘｮｳﾀ</t>
  </si>
  <si>
    <t>島田　舜平</t>
  </si>
  <si>
    <t>ｼﾏﾀﾞ ｼｭﾝﾍﾟｲ</t>
  </si>
  <si>
    <t>曽根　健志郎</t>
  </si>
  <si>
    <t>ｿﾈ ｹﾝｼﾛｳ</t>
  </si>
  <si>
    <t>大長　龍平</t>
  </si>
  <si>
    <t>ﾀﾞｲﾁｮｳ ﾘｭｳﾍｲ</t>
  </si>
  <si>
    <t>田邊　祐一朗</t>
  </si>
  <si>
    <t>ﾀﾅﾍﾞ ﾕｳｲﾁﾛｳ</t>
  </si>
  <si>
    <t>千葉　隆成</t>
  </si>
  <si>
    <t>ﾁﾊﾞ ﾘｭｳｾｲ</t>
  </si>
  <si>
    <t>知福　隼</t>
  </si>
  <si>
    <t>ﾁﾌｸ ｼｭﾝ</t>
  </si>
  <si>
    <t>坪井　優樹</t>
  </si>
  <si>
    <t>ﾂﾎﾞｲ ﾕｳｷ</t>
  </si>
  <si>
    <t>冨原　航</t>
  </si>
  <si>
    <t>ﾄﾐﾊﾗ ﾜﾀﾙ</t>
  </si>
  <si>
    <t>原永　貴之</t>
  </si>
  <si>
    <t>ﾊﾗﾅｶﾞ ﾀｶﾕｷ</t>
  </si>
  <si>
    <t>福本　涼太</t>
  </si>
  <si>
    <t>ﾌｸﾓﾄ ﾘｮｳﾀ</t>
  </si>
  <si>
    <t>藤田　大勲</t>
  </si>
  <si>
    <t>ﾌｼﾞﾀ ﾄﾓﾋﾛ</t>
  </si>
  <si>
    <t>藤田　知也</t>
  </si>
  <si>
    <t>ﾌｼﾞﾀ ﾄﾓﾔ</t>
  </si>
  <si>
    <t>前田　功貴</t>
  </si>
  <si>
    <t>ﾏｴﾀﾞ ｺｳｷ</t>
  </si>
  <si>
    <t>松村　渉</t>
  </si>
  <si>
    <t>ﾏﾂﾑﾗ ﾜﾀﾙ</t>
  </si>
  <si>
    <t>村上　耀</t>
  </si>
  <si>
    <t>ﾑﾗｶﾐ ｱｷﾗ</t>
  </si>
  <si>
    <t>森元　勇気</t>
  </si>
  <si>
    <t>ﾓﾘﾓﾄ ﾕｳｷ</t>
  </si>
  <si>
    <t>山本　槙</t>
  </si>
  <si>
    <t>ﾔﾏﾓﾄ ｼﾝ</t>
  </si>
  <si>
    <t>ﾔﾏﾓﾄ ﾀﾂﾔ</t>
  </si>
  <si>
    <t>横尾　亮</t>
  </si>
  <si>
    <t>ﾖｺｵ ｱｷﾗ</t>
  </si>
  <si>
    <t>吉本　将紀</t>
  </si>
  <si>
    <t>ﾖｼﾓﾄ ﾏｻｷ</t>
  </si>
  <si>
    <t>和田木　涼</t>
  </si>
  <si>
    <t>ﾜﾀﾞｷ ﾘｮｳ</t>
  </si>
  <si>
    <t>渡辺　稜二郎</t>
  </si>
  <si>
    <t>ﾜﾀﾅﾍﾞ ﾘｮｳｼﾞﾛｳ</t>
  </si>
  <si>
    <t>神野　純弥</t>
  </si>
  <si>
    <t>ｶﾝﾉ ｼﾞｭﾝﾔ</t>
  </si>
  <si>
    <t>勢一　貴俊</t>
  </si>
  <si>
    <t>ｾｲﾁ ﾀｶﾄｼ</t>
  </si>
  <si>
    <t>新延　聖</t>
  </si>
  <si>
    <t>ﾆｲﾉﾍﾞ ｼｮｳ</t>
  </si>
  <si>
    <t>山口　将生</t>
  </si>
  <si>
    <t>ﾔﾏｸﾞﾁ ﾏｻｷ</t>
  </si>
  <si>
    <t>鳥取環境大学</t>
  </si>
  <si>
    <t>上野　翔太郎</t>
  </si>
  <si>
    <t>ｳｴﾉ ｼｮｳﾀﾛｳ</t>
  </si>
  <si>
    <t>松山大学</t>
  </si>
  <si>
    <t>木村　健</t>
  </si>
  <si>
    <t>ｷﾑﾗ ﾀｹﾙ</t>
  </si>
  <si>
    <t>友岡　慎弥</t>
  </si>
  <si>
    <t>ﾄﾓｵｶ ｼﾝﾔ</t>
  </si>
  <si>
    <t>加藤　拓真</t>
  </si>
  <si>
    <t>ｶﾄｳ ﾀｸﾏ</t>
  </si>
  <si>
    <t>河崎　陸</t>
  </si>
  <si>
    <t>ｶﾜｻｷ ﾘｸ</t>
  </si>
  <si>
    <t>福原　煕章</t>
  </si>
  <si>
    <t>ﾌｸﾊﾗ ﾋﾛｱｷ</t>
  </si>
  <si>
    <t>豊島　啓太</t>
  </si>
  <si>
    <t>ﾄﾖｼﾏ ｹｲﾀ</t>
  </si>
  <si>
    <t>加藤　啓太</t>
  </si>
  <si>
    <t>ｶﾄｳ ｹｲﾀ</t>
  </si>
  <si>
    <t>高木　周真</t>
  </si>
  <si>
    <t>ﾀｶｷﾞ ｼｭｳﾏ</t>
  </si>
  <si>
    <t>杉田　大樹</t>
  </si>
  <si>
    <t>ｽｷﾞﾀ ﾋﾛｷ</t>
  </si>
  <si>
    <t>中沖　志遠</t>
  </si>
  <si>
    <t>ﾅｶｵｷ ｼｵﾝ</t>
  </si>
  <si>
    <t>堀尾　海人</t>
  </si>
  <si>
    <t>ﾎﾘｵ ｶｲﾄ</t>
  </si>
  <si>
    <t>池田　龍生</t>
  </si>
  <si>
    <t>ｲｹﾀﾞ ﾘｭｳｾｲ</t>
  </si>
  <si>
    <t>岡田　晃太</t>
  </si>
  <si>
    <t>ｵｶﾀﾞ ｺｳﾀ</t>
  </si>
  <si>
    <t>川染　彗</t>
  </si>
  <si>
    <t>ｶﾜｿﾞﾒ ｹｲ</t>
  </si>
  <si>
    <t>石丸　勝也</t>
  </si>
  <si>
    <t>ｲｼﾏﾙ ｶﾂﾔ</t>
  </si>
  <si>
    <t>渡部　史也</t>
  </si>
  <si>
    <t>ﾜﾀﾅﾍﾞ ﾌﾐﾔ</t>
  </si>
  <si>
    <t>村上　稜将</t>
  </si>
  <si>
    <t>ﾑﾗｶﾐ ﾘｮｳｽｹ</t>
  </si>
  <si>
    <t>鈴木　悠也</t>
  </si>
  <si>
    <t>ｽｽﾞｷ ﾕｳﾔ</t>
  </si>
  <si>
    <t>大森　文貴</t>
  </si>
  <si>
    <t>ｵｵﾓﾘ ﾌﾐﾀｶ</t>
  </si>
  <si>
    <t>髙畑　秀哉</t>
  </si>
  <si>
    <t>ﾀｶﾊﾀ ﾋﾃﾞﾔ</t>
  </si>
  <si>
    <t>岩本　勇樹</t>
  </si>
  <si>
    <t>ｲﾜﾓﾄ ﾕｳｷ</t>
  </si>
  <si>
    <t>浅野　真弘</t>
  </si>
  <si>
    <t>ｱｻﾉ ﾏｻﾋﾛ</t>
  </si>
  <si>
    <t>岩脇　良介</t>
  </si>
  <si>
    <t>ｲﾜﾜｷ ﾘｮｳｽｹ</t>
  </si>
  <si>
    <t>毛利　和志</t>
  </si>
  <si>
    <t>ﾓｳﾘ ｶｽﾞｼ</t>
  </si>
  <si>
    <t>立花　啓介</t>
  </si>
  <si>
    <t>ﾀﾁﾊﾞﾅ ｹｲｽｹ</t>
  </si>
  <si>
    <t>川西　翔太</t>
  </si>
  <si>
    <t>ｶﾜﾆｼ ｼｮｳﾀ</t>
  </si>
  <si>
    <t>園部　修一</t>
  </si>
  <si>
    <t>ｿﾉﾍﾞ ｼｭｳｲﾁ</t>
  </si>
  <si>
    <t>近藤　尚輝</t>
  </si>
  <si>
    <t>ｺﾝﾄﾞｳ ﾅｵｷ</t>
  </si>
  <si>
    <t>高島　岳大</t>
  </si>
  <si>
    <t>ﾀｶｼﾏ ﾀｹﾋﾛ</t>
  </si>
  <si>
    <t>佐伯　宥</t>
  </si>
  <si>
    <t>ｻｴｷ ﾕｳ</t>
  </si>
  <si>
    <t>田村　友希</t>
  </si>
  <si>
    <t>ﾀﾑﾗ ﾕｳｷ</t>
  </si>
  <si>
    <t>徳山工業高等専門学校</t>
  </si>
  <si>
    <t>多原　祐樹</t>
  </si>
  <si>
    <t>ﾀﾊﾗ ﾕｳｷ</t>
  </si>
  <si>
    <t>國廣　隼平</t>
  </si>
  <si>
    <t>ｸﾆﾋﾛ ｼｭﾝﾍﾟｲ</t>
  </si>
  <si>
    <t>山本　慎隆</t>
  </si>
  <si>
    <t>ﾔﾏﾓﾄ ﾉﾘﾀｶ</t>
  </si>
  <si>
    <t>澤野　晃輔</t>
  </si>
  <si>
    <t>ｻﾜﾉ ｺｳｽｹ</t>
  </si>
  <si>
    <t>竹中　司</t>
  </si>
  <si>
    <t>ﾀｹﾅｶ ﾂｶｻ</t>
  </si>
  <si>
    <t>白井　史朗</t>
  </si>
  <si>
    <t>ｼﾗｲ ﾌﾐｱｷ</t>
  </si>
  <si>
    <t>内田　翔</t>
  </si>
  <si>
    <t>ｳﾁﾀﾞ ｼｮｳ</t>
  </si>
  <si>
    <t>富田　就斗</t>
  </si>
  <si>
    <t>ﾄﾐﾀ ｼｭｳﾄ</t>
  </si>
  <si>
    <t>寄岡　祐太郎</t>
  </si>
  <si>
    <t>ﾖﾘｵｶ ﾕｳﾀﾛｳ</t>
  </si>
  <si>
    <t>藤井　琢磨</t>
  </si>
  <si>
    <t>ﾌｼﾞｲ ﾀｸﾏ</t>
  </si>
  <si>
    <t>宇多　涼太朗</t>
  </si>
  <si>
    <t>ｳﾀﾞ ﾘｮｳﾀﾛｳ</t>
  </si>
  <si>
    <t>波田　悠之介</t>
  </si>
  <si>
    <t>ﾊﾀﾞ ﾕｳﾉｽｹ</t>
  </si>
  <si>
    <t>橋本　祥汰</t>
  </si>
  <si>
    <t>ﾊｼﾓﾄ ｼｮｳﾀ</t>
  </si>
  <si>
    <t>山縣　翔</t>
  </si>
  <si>
    <t>ﾔﾏｶﾞﾀ ｼｮｳ</t>
  </si>
  <si>
    <t>田川　亮太</t>
  </si>
  <si>
    <t>ﾀｶﾞﾜ ﾘｮｳﾀ</t>
  </si>
  <si>
    <t>高橋　康介</t>
  </si>
  <si>
    <t>岡崎　喬斗</t>
  </si>
  <si>
    <t>ｵｶｻﾞｷ ﾀｶﾄ</t>
  </si>
  <si>
    <t>兼重　圭汰</t>
  </si>
  <si>
    <t>ｶﾈｼｹﾞ ｹｲﾀ</t>
  </si>
  <si>
    <t>西村　浩貴</t>
  </si>
  <si>
    <t>ﾆｼﾑﾗ ﾋﾛｷ</t>
  </si>
  <si>
    <t>𨑕田　周平</t>
  </si>
  <si>
    <t>ﾊｻﾞﾀ ｼｭｳﾍｲ</t>
  </si>
  <si>
    <t>松本　雄大</t>
  </si>
  <si>
    <t>ﾏﾂﾓﾄ ﾕｳﾀﾞｲ</t>
  </si>
  <si>
    <t>坂元　郁弥</t>
  </si>
  <si>
    <t>ｻｶﾓﾄ ｲｸﾔ</t>
  </si>
  <si>
    <t>岡久　聡真</t>
  </si>
  <si>
    <t>ｵｶﾋｻ ｿｳﾏ</t>
  </si>
  <si>
    <t>中屋敷　祐人</t>
  </si>
  <si>
    <t>ﾅｶﾔｼｷ ﾕｳﾄ</t>
  </si>
  <si>
    <t>高知工科大学</t>
  </si>
  <si>
    <t>大平　康勝</t>
  </si>
  <si>
    <t>ｵｵﾋﾗ ﾔｽﾏｻ</t>
  </si>
  <si>
    <t>島倉　優也</t>
  </si>
  <si>
    <t>ｼﾏｸﾗ ﾕｳﾔ</t>
  </si>
  <si>
    <t>佐藤　龍</t>
  </si>
  <si>
    <t>ｻﾄｳ ﾘｭｳ</t>
  </si>
  <si>
    <t>前田　康佑</t>
  </si>
  <si>
    <t>ﾏｴﾀﾞ ｺｳｽｹ</t>
  </si>
  <si>
    <t>小谷　広生</t>
  </si>
  <si>
    <t>ｺﾀﾆ ﾋﾛｷ</t>
  </si>
  <si>
    <t>橋本　慎輔</t>
  </si>
  <si>
    <t>ﾊｼﾓﾄ ｼﾝｽｹ</t>
  </si>
  <si>
    <t>山口県立大学</t>
  </si>
  <si>
    <t>杉山　諒</t>
  </si>
  <si>
    <t>ｽｷﾞﾔﾏ ﾘｮｳ</t>
  </si>
  <si>
    <t>石原　聖</t>
  </si>
  <si>
    <t>ｲｼﾊﾗ ﾀｶｼ</t>
  </si>
  <si>
    <t>宇野田　和馬</t>
  </si>
  <si>
    <t>ｳﾉﾀﾞ ｶｽﾞﾏ</t>
  </si>
  <si>
    <t>遠藤　康太郎</t>
  </si>
  <si>
    <t>ｴﾝﾄﾞｳ ｺｳﾀﾛｳ</t>
  </si>
  <si>
    <t>白田　雅治</t>
  </si>
  <si>
    <t>ｼﾗﾀ ﾏｻﾊﾙ</t>
  </si>
  <si>
    <t>坪井　涼平</t>
  </si>
  <si>
    <t>ﾂﾎﾞｲ ﾘｮｳﾍｲ</t>
  </si>
  <si>
    <t>女鹿田　匠</t>
  </si>
  <si>
    <t>ﾒｶﾀﾞ ﾀｸﾐ</t>
  </si>
  <si>
    <t>荒谷　達也</t>
  </si>
  <si>
    <t>ｱﾗﾀﾆ ﾀﾂﾔ</t>
  </si>
  <si>
    <t>下平　泰之</t>
  </si>
  <si>
    <t>ｼﾀﾋﾗ ﾀｲｼ</t>
  </si>
  <si>
    <t>深田　聡</t>
  </si>
  <si>
    <t>ﾌｶﾀ ｻﾄｼ</t>
  </si>
  <si>
    <t>宮園　剛</t>
  </si>
  <si>
    <t>ﾐﾔｿﾞﾉ ﾂﾖｼ</t>
  </si>
  <si>
    <t>山本　緩太</t>
  </si>
  <si>
    <t>ﾔﾏﾓﾄ ｶﾝﾀ</t>
  </si>
  <si>
    <t>渡部　翔太</t>
  </si>
  <si>
    <t>ﾜﾀﾅﾍﾞ ｼｮｳﾀ</t>
  </si>
  <si>
    <t>東亜大学</t>
  </si>
  <si>
    <t>江頭　祐介</t>
  </si>
  <si>
    <t>ｴｶﾞｼﾗ ﾕｳｽｹ</t>
  </si>
  <si>
    <t>久保　達成</t>
  </si>
  <si>
    <t>ｸﾎﾞ ﾀﾂﾅﾘ</t>
  </si>
  <si>
    <t>竹村　太希</t>
  </si>
  <si>
    <t>ﾀｹﾑﾗ ﾋﾛｷ</t>
  </si>
  <si>
    <t>織田　健人</t>
  </si>
  <si>
    <t>ｵﾀﾞ ｹﾝﾄ</t>
  </si>
  <si>
    <t>内田　大海</t>
  </si>
  <si>
    <t>ｳﾁﾀﾞ ﾀｲｶｲ</t>
  </si>
  <si>
    <t>國包　新</t>
  </si>
  <si>
    <t>ｸﾆｶﾈ ｱﾗﾀ</t>
  </si>
  <si>
    <t>髙橋　翔太</t>
  </si>
  <si>
    <t>ﾀｶﾊｼ ｼｮｳﾀ</t>
  </si>
  <si>
    <t>兼重　史穏</t>
  </si>
  <si>
    <t>ｶﾈｼｹﾞ ｼｵﾝ</t>
  </si>
  <si>
    <t>柴野　敏一</t>
  </si>
  <si>
    <t>ｼﾊﾞﾉ ﾄｼｶｽﾞ</t>
  </si>
  <si>
    <t>笹木　航太</t>
  </si>
  <si>
    <t>ｻｻｷ ｺｳﾀ</t>
  </si>
  <si>
    <t>米田　研志</t>
  </si>
  <si>
    <t>ﾖﾈﾀﾞ ｹﾝｼﾞ</t>
  </si>
  <si>
    <t>山岡　祥悟</t>
  </si>
  <si>
    <t>ﾔﾏｵｶ ｼｮｳｺﾞ</t>
  </si>
  <si>
    <t>前田　拓巳</t>
  </si>
  <si>
    <t>ﾏｴﾀﾞ ﾀｸﾐ</t>
  </si>
  <si>
    <t>佐竹　良樹</t>
  </si>
  <si>
    <t>ｻﾀｹ ﾖｼｷ</t>
  </si>
  <si>
    <t>岡本　拓也</t>
  </si>
  <si>
    <t>ｵｶﾓﾄ ﾀｸﾔ</t>
  </si>
  <si>
    <t>新家　直弥</t>
  </si>
  <si>
    <t>ｼﾝｹ ﾅｵﾔ</t>
  </si>
  <si>
    <t>西尾　颯汰</t>
  </si>
  <si>
    <t>ﾆｼｵ ｿｳﾀ</t>
  </si>
  <si>
    <t>陶山　帆昂</t>
  </si>
  <si>
    <t>ｽﾔﾏ ﾎﾀﾞｶ</t>
  </si>
  <si>
    <t>神田　直季</t>
  </si>
  <si>
    <t>ｶﾝﾀﾞ ﾅｵｷ</t>
  </si>
  <si>
    <t>甲斐　公耀</t>
  </si>
  <si>
    <t>ｶｲ ｷﾐｱｷ</t>
  </si>
  <si>
    <t>林　高春</t>
  </si>
  <si>
    <t>ﾊﾔｼ ﾀｶﾊﾙ</t>
  </si>
  <si>
    <t>藤井　竜也</t>
  </si>
  <si>
    <t>ﾌｼﾞｲ ﾀﾂﾔ</t>
  </si>
  <si>
    <t>吉田　崇智</t>
  </si>
  <si>
    <t>ﾖｼﾀﾞ ﾀｶﾄﾓ</t>
  </si>
  <si>
    <t>香川高等専門学校</t>
  </si>
  <si>
    <t>大廣　国明</t>
  </si>
  <si>
    <t>ｵｵﾋﾛ ｸﾆｱｷ</t>
  </si>
  <si>
    <t>米子工業高等専門学校</t>
  </si>
  <si>
    <t>山脇　克海</t>
  </si>
  <si>
    <t>ﾔﾏﾜｷ ｶﾂﾐ</t>
  </si>
  <si>
    <t>中山　健太</t>
  </si>
  <si>
    <t>ﾅｶﾔﾏ ｹﾝﾀ</t>
  </si>
  <si>
    <t>西澤　侑吾</t>
  </si>
  <si>
    <t>ﾆｼｻﾞﾜ ﾕｳｺﾞ</t>
  </si>
  <si>
    <t>井田　大貴</t>
  </si>
  <si>
    <t>ｲﾀﾞ ﾋﾛｷ</t>
  </si>
  <si>
    <t>佐倉　康</t>
  </si>
  <si>
    <t>ｻｸﾗ ﾔｽｼ</t>
  </si>
  <si>
    <t>根来　由晋</t>
  </si>
  <si>
    <t>ﾈｺﾞﾛ ﾖｼﾕｷ</t>
  </si>
  <si>
    <t>宮本　裕也</t>
  </si>
  <si>
    <t>ﾐﾔﾓﾄ ﾕｳﾔ</t>
  </si>
  <si>
    <t>若林　拓也</t>
  </si>
  <si>
    <t>ﾜｶﾊﾞﾔｼ ﾀｸﾔ</t>
  </si>
  <si>
    <t>池田　幸功</t>
  </si>
  <si>
    <t>ｲｹﾀﾞ ﾕｷﾉﾘ</t>
  </si>
  <si>
    <t>北尾　龍希</t>
  </si>
  <si>
    <t>ｷﾀｵ ﾘｭｳｷ</t>
  </si>
  <si>
    <t>菅沼　拓都</t>
  </si>
  <si>
    <t>ｽｶﾞﾇﾏ ﾀｸﾄ</t>
  </si>
  <si>
    <t>村岡　雄也</t>
  </si>
  <si>
    <t>ﾑﾗｵｶ ﾕｳﾔ</t>
  </si>
  <si>
    <t>浦　賢史朗</t>
  </si>
  <si>
    <t>ｳﾗ ｹﾝｼﾛｳ</t>
  </si>
  <si>
    <t>佐藤　優輝</t>
  </si>
  <si>
    <t>ｻﾄｳ ﾕｳｷ</t>
  </si>
  <si>
    <t>梅原　宏俊</t>
  </si>
  <si>
    <t>ｳﾒﾊﾗ ﾋﾛﾄｼ</t>
  </si>
  <si>
    <t>川村　渉</t>
  </si>
  <si>
    <t>ｶﾜﾑﾗ ﾜﾀﾙ</t>
  </si>
  <si>
    <t>就実大学</t>
  </si>
  <si>
    <t>柏木　匠</t>
  </si>
  <si>
    <t>ｶｼﾜｷﾞ ﾀｸﾐ</t>
  </si>
  <si>
    <t>木村　圭佑</t>
  </si>
  <si>
    <t>ｷﾑﾗ ｹｲｽｹ</t>
  </si>
  <si>
    <t>田淵　聖也</t>
  </si>
  <si>
    <t>ﾀﾌﾞﾁ ｾｲﾔ</t>
  </si>
  <si>
    <t>大内　靖之</t>
  </si>
  <si>
    <t>ｵｵｳﾁ ﾔｽﾕｷ</t>
  </si>
  <si>
    <t>柚木　達郎</t>
  </si>
  <si>
    <t>ﾕﾉｷ ﾀﾂﾛｳ</t>
  </si>
  <si>
    <t>田邉　大輝</t>
  </si>
  <si>
    <t>ﾀﾅﾍﾞ ﾀﾞｲｷ</t>
  </si>
  <si>
    <t>山下　湧</t>
  </si>
  <si>
    <t>ﾔﾏｼﾀ ﾕｳ</t>
  </si>
  <si>
    <t>廣田　勇一</t>
  </si>
  <si>
    <t>ﾋﾛﾀ ﾕｳｲﾁ</t>
  </si>
  <si>
    <t>前田　浩輝</t>
  </si>
  <si>
    <t>ﾏｴﾀ ｺｳｷ</t>
  </si>
  <si>
    <t>小川　聖斗</t>
  </si>
  <si>
    <t>ｺｶﾞﾜ ﾏｻﾄ</t>
  </si>
  <si>
    <t>住田　雅之</t>
  </si>
  <si>
    <t>ｽﾐﾀ ﾏｻﾕｷ</t>
  </si>
  <si>
    <t>中村　遼太郎</t>
  </si>
  <si>
    <t>ﾅｶﾑﾗ ﾘｮｳﾀﾛｳ</t>
  </si>
  <si>
    <t>依光　蓮</t>
  </si>
  <si>
    <t>ﾖﾘﾐﾂ ﾚﾝ</t>
  </si>
  <si>
    <t>田坂　雅人</t>
  </si>
  <si>
    <t>ﾀｻｶ ﾏｻﾄ</t>
  </si>
  <si>
    <t>角本　憲史</t>
  </si>
  <si>
    <t>ｶｸﾓﾄ ｹﾝｼﾞ</t>
  </si>
  <si>
    <t>岡田　輝成</t>
  </si>
  <si>
    <t>ｵｶﾀﾞ ﾃﾙｱｷ</t>
  </si>
  <si>
    <t>本田　直紀</t>
  </si>
  <si>
    <t>ﾎﾝﾀﾞ ﾅｵｷ</t>
  </si>
  <si>
    <t>大河内　卓哉</t>
  </si>
  <si>
    <t>ｵｵｺｳﾁ ﾀｸﾔ</t>
  </si>
  <si>
    <t>石川　智也</t>
  </si>
  <si>
    <t>ｲｼｶﾜ ﾄﾓﾔ</t>
  </si>
  <si>
    <t>神尾　龍彦</t>
  </si>
  <si>
    <t>ｶﾐｵ ﾀﾂﾋｺ</t>
  </si>
  <si>
    <t>續　駿也</t>
  </si>
  <si>
    <t>ﾂﾂﾞｷ ｼｭﾝﾔ</t>
  </si>
  <si>
    <t>神戸　力斗</t>
  </si>
  <si>
    <t>ｶﾝﾍﾞ ﾘｷﾄ</t>
  </si>
  <si>
    <t>秋山　京祗</t>
  </si>
  <si>
    <t>ｱｷﾔﾏ ﾀｶﾉﾘ</t>
  </si>
  <si>
    <t>赤松　拓海</t>
  </si>
  <si>
    <t>ｱｶﾏﾂ ﾀｸﾐ</t>
  </si>
  <si>
    <t>田平　守</t>
  </si>
  <si>
    <t>ﾀﾋﾗ ﾏﾓﾙ</t>
  </si>
  <si>
    <t>岩田　英之</t>
  </si>
  <si>
    <t>ｲﾜﾀ ﾋﾃﾞﾕｷ</t>
  </si>
  <si>
    <t>浴元　烈</t>
  </si>
  <si>
    <t>ｴｷﾓﾄ ﾚﾂ</t>
  </si>
  <si>
    <t>伊藤　剛史</t>
  </si>
  <si>
    <t>ｲﾄｳ ﾂﾖｼ</t>
  </si>
  <si>
    <t>中村　雅博</t>
  </si>
  <si>
    <t>ﾅｶﾑﾗ ﾏｻﾋﾛ</t>
  </si>
  <si>
    <t>南海　秀仁</t>
  </si>
  <si>
    <t>ﾅﾝｶｲ ﾋﾃﾞﾄ</t>
  </si>
  <si>
    <t>井上　直也</t>
  </si>
  <si>
    <t>ｲﾉｳｴ ﾅｵﾔ</t>
  </si>
  <si>
    <t>内田　幸</t>
  </si>
  <si>
    <t>ｳﾁﾀﾞ ﾐﾕｷ</t>
  </si>
  <si>
    <t>小幡　海斗</t>
  </si>
  <si>
    <t>ｵﾊﾞﾀ ｶｲﾄ</t>
  </si>
  <si>
    <t>角谷　亮洋</t>
  </si>
  <si>
    <t>ｶｸﾀﾆ ｱｷﾋﾛ</t>
  </si>
  <si>
    <t>片山　卓哉</t>
  </si>
  <si>
    <t>ｶﾀﾔﾏ ﾀｸﾔ</t>
  </si>
  <si>
    <t>木山　駿</t>
  </si>
  <si>
    <t>ｷﾔﾏ ｼｭﾝ</t>
  </si>
  <si>
    <t>榊原　健介</t>
  </si>
  <si>
    <t>ｻｶｷﾊﾞﾗ ｹﾝｽｹ</t>
  </si>
  <si>
    <t>堤　喬平</t>
  </si>
  <si>
    <t>ﾂﾂﾐ ｷｮｳﾍｲ</t>
  </si>
  <si>
    <t>秀島　銀河</t>
  </si>
  <si>
    <t>ﾋﾃﾞｼﾏ ｷﾞﾝｶﾞ</t>
  </si>
  <si>
    <t>蒲生　智</t>
  </si>
  <si>
    <t>ｶﾞﾓｳ ｻﾄﾙ</t>
  </si>
  <si>
    <t>片岡　陽</t>
  </si>
  <si>
    <t>ｶﾀｵｶ ｱｷﾗ</t>
  </si>
  <si>
    <t>河村　侑亮</t>
  </si>
  <si>
    <t>ｶﾜﾑﾗ ﾕｳｽｹ</t>
  </si>
  <si>
    <t>久原　優希</t>
  </si>
  <si>
    <t>ｸﾊﾞﾗ ﾕｳｷ</t>
  </si>
  <si>
    <t>市村　正如</t>
  </si>
  <si>
    <t>ｲﾁﾑﾗ ﾏｻﾕｷ</t>
  </si>
  <si>
    <t>柴田　昂季</t>
  </si>
  <si>
    <t>ｼﾊﾞﾀ ｺｳｷ</t>
  </si>
  <si>
    <t>藤田　賢</t>
  </si>
  <si>
    <t>ﾌｼﾞﾀ ｻﾄﾙ</t>
  </si>
  <si>
    <t>藤田　達郎</t>
  </si>
  <si>
    <t>ﾌｼﾞﾀ ﾀﾂﾛｳ</t>
  </si>
  <si>
    <t>宮島　伸大</t>
  </si>
  <si>
    <t>ﾐﾔｼﾞﾏ ﾉﾌﾞﾋﾛ</t>
  </si>
  <si>
    <t>渡邉　孝道</t>
  </si>
  <si>
    <t>ﾜﾀﾅﾍﾞ ｺｳﾄﾞｳ</t>
  </si>
  <si>
    <t>小幡　圭佑</t>
  </si>
  <si>
    <t>ｵﾊﾞﾀ ｹｲｽｹ</t>
  </si>
  <si>
    <t>齋藤　勇太</t>
  </si>
  <si>
    <t>ｻｲﾄｳ ﾕｳﾀ</t>
  </si>
  <si>
    <t>山本　祐輝</t>
  </si>
  <si>
    <t>吉田　直人</t>
  </si>
  <si>
    <t>ﾖｼﾀﾞ ﾅｵﾄ</t>
  </si>
  <si>
    <t>大野　達也</t>
  </si>
  <si>
    <t>ｵｵﾉ ﾀﾂﾔ</t>
  </si>
  <si>
    <t>廣澤　克彦</t>
  </si>
  <si>
    <t>ﾋﾛｻﾜ ｶﾂﾋｺ</t>
  </si>
  <si>
    <t>津野邉　純一</t>
    <phoneticPr fontId="2"/>
  </si>
  <si>
    <t>ﾂﾉﾍﾞ ｼﾞｭﾝｲﾁ</t>
  </si>
  <si>
    <t>佐野　巧</t>
  </si>
  <si>
    <t>ｻﾉ ﾀｸﾐ</t>
  </si>
  <si>
    <t>宮原　圭吾</t>
  </si>
  <si>
    <t>ﾐﾔﾊﾗ ｹｲｺﾞ</t>
  </si>
  <si>
    <t>浅雄　大輔</t>
  </si>
  <si>
    <t>ｱｻｵ ﾀﾞｲｽｹ</t>
  </si>
  <si>
    <t>松下　知樹</t>
  </si>
  <si>
    <t>ﾏﾂｼﾀ ﾄﾓｷ</t>
  </si>
  <si>
    <t>大上　路生</t>
  </si>
  <si>
    <t>ｵｵｳｴ ﾐﾁｵ</t>
  </si>
  <si>
    <t>箕田　大祐</t>
  </si>
  <si>
    <t>ﾐﾀ ﾀﾞｲｽｹ</t>
  </si>
  <si>
    <t>山中　啓資</t>
  </si>
  <si>
    <t>ﾔﾏﾅｶ ｹｲｽｹ</t>
  </si>
  <si>
    <t>奥田　匡洋</t>
  </si>
  <si>
    <t>ｵｸﾀﾞ ﾏｻﾋﾛ</t>
  </si>
  <si>
    <t>石川　航平</t>
  </si>
  <si>
    <t>ｲｼｶﾜ ｺｳﾍｲ</t>
  </si>
  <si>
    <t>藤田　雄大</t>
  </si>
  <si>
    <t>ﾌｼﾞﾀ ﾕｳﾀﾞｲ</t>
  </si>
  <si>
    <t>神谷　耕太</t>
  </si>
  <si>
    <t>ｶﾐﾔ ｺｳﾀ</t>
  </si>
  <si>
    <t>安藤　元樹</t>
  </si>
  <si>
    <t>ｱﾝﾄﾞｳ ｹﾞﾝｷ</t>
  </si>
  <si>
    <t>小林　靖典</t>
  </si>
  <si>
    <t>ｺﾊﾞﾔｼ ﾔｽﾉﾘ</t>
  </si>
  <si>
    <t>三石　将史</t>
  </si>
  <si>
    <t>ﾐﾂｲｼ ﾏｻﾌﾐ</t>
  </si>
  <si>
    <t>武田　仁志</t>
  </si>
  <si>
    <t>ﾀｹﾀﾞ ﾋﾄｼ</t>
  </si>
  <si>
    <t>宇坪　駿介</t>
  </si>
  <si>
    <t>ｳﾂﾎﾞ ｼｭﾝｽｹ</t>
  </si>
  <si>
    <t>園部　翔平</t>
  </si>
  <si>
    <t>ｿﾉﾍﾞ ｼｮｳﾍｲ</t>
  </si>
  <si>
    <t>岩脇　侑哉</t>
  </si>
  <si>
    <t>ｲﾜﾜｷ ﾕｳﾔ</t>
  </si>
  <si>
    <t>山本　昌都</t>
  </si>
  <si>
    <t>美濃　宏介</t>
  </si>
  <si>
    <t>ﾐﾉ ｺｳｽｹ</t>
  </si>
  <si>
    <t>福本　和樹</t>
  </si>
  <si>
    <t>ﾌｸﾓﾄ ｶｽﾞｷ</t>
  </si>
  <si>
    <t>渡邊　大悟</t>
  </si>
  <si>
    <t>ﾜﾀﾅﾍﾞ ﾀﾞｲｺﾞ</t>
  </si>
  <si>
    <t>平井　大輔</t>
  </si>
  <si>
    <t>ﾋﾗｲ ﾀﾞｲｽｹ</t>
  </si>
  <si>
    <t>本田　涼</t>
  </si>
  <si>
    <t>ﾎﾝﾀﾞ ﾘｮｳ</t>
  </si>
  <si>
    <t>佐藤　優次</t>
  </si>
  <si>
    <t>ｻﾄｳ ﾕｳｼﾞ</t>
  </si>
  <si>
    <t>尾川　快</t>
  </si>
  <si>
    <t>ｵｶﾞﾜ ｶｲ</t>
  </si>
  <si>
    <t>近藤　幹太</t>
  </si>
  <si>
    <t>ｺﾝﾄﾞｳ ｶﾝﾀ</t>
  </si>
  <si>
    <t>三好　利光</t>
  </si>
  <si>
    <t>ﾐﾖｼ ﾄｼﾐﾂ</t>
  </si>
  <si>
    <t>瀬脇　凪</t>
  </si>
  <si>
    <t>ｾﾜｷ ﾅｷﾞ</t>
  </si>
  <si>
    <t>日隈　凌</t>
  </si>
  <si>
    <t>ﾋｸﾞﾏ ﾘｮｳ</t>
  </si>
  <si>
    <t>八尾　悠太</t>
  </si>
  <si>
    <t>ﾔｵ ﾕｳﾀ</t>
  </si>
  <si>
    <t>山﨑　定将</t>
  </si>
  <si>
    <t>ﾔﾏｻｷ ｻﾀﾞﾏｻ</t>
  </si>
  <si>
    <t>水島　晃治</t>
  </si>
  <si>
    <t>ﾐｽﾞｼﾏ ｺｳｼﾞ</t>
  </si>
  <si>
    <t>竹元　敦也</t>
  </si>
  <si>
    <t>ﾀｹﾓﾄ ｱﾂﾔ</t>
  </si>
  <si>
    <t>大山　和茂</t>
  </si>
  <si>
    <t>ｵｵﾔﾏ ｶｽﾞｼｹﾞ</t>
  </si>
  <si>
    <t>上久保　俊直</t>
  </si>
  <si>
    <t>ｶﾐｸﾎﾞ ﾄｼﾅｵ</t>
  </si>
  <si>
    <t>三井田　陸斗</t>
  </si>
  <si>
    <t>ﾐｲﾀﾞ ﾘｸﾄ</t>
  </si>
  <si>
    <t>髙田　宏一</t>
  </si>
  <si>
    <t>ﾀｶﾀ ｺｳｲﾁ</t>
  </si>
  <si>
    <t>中島　笙</t>
  </si>
  <si>
    <t>ﾅｶｼﾏ ｼｮｳ</t>
  </si>
  <si>
    <t>有井　洸将</t>
  </si>
  <si>
    <t>ｱﾘｲ ﾋﾛﾏｻ</t>
  </si>
  <si>
    <t>三好　将太</t>
  </si>
  <si>
    <t>ﾐﾖｼ ｼｮｳﾀ</t>
  </si>
  <si>
    <t>小島　慎一郎</t>
  </si>
  <si>
    <t>ｺｼﾞﾏ ｼﾝｲﾁﾛｳ</t>
  </si>
  <si>
    <t>高橋　秀典</t>
  </si>
  <si>
    <t>ﾀｶﾊｼ ﾋﾃﾞﾉﾘ</t>
  </si>
  <si>
    <t>野村　亮誠</t>
  </si>
  <si>
    <t>ﾉﾑﾗ ﾘｮｳｾｲ</t>
  </si>
  <si>
    <t>北野　紘一</t>
  </si>
  <si>
    <t>ｷﾀﾉ ｺｳｲﾁ</t>
  </si>
  <si>
    <t>難波　成海</t>
  </si>
  <si>
    <t>ﾅﾝﾊﾞ ﾅﾙﾐ</t>
  </si>
  <si>
    <t>大原　大亮</t>
  </si>
  <si>
    <t>ｵｵﾊﾗ ﾀﾞｲｽｹ</t>
  </si>
  <si>
    <t>柳生　恭平</t>
  </si>
  <si>
    <t>ﾔｷﾞｭｳ ｷｮｳﾍｲ</t>
  </si>
  <si>
    <t>岩本　賢弥</t>
  </si>
  <si>
    <t>ｲﾜﾓﾄ ｶﾂﾔ</t>
  </si>
  <si>
    <t>鳴美　創一朗</t>
  </si>
  <si>
    <t>ﾅﾙﾐ ｿｳｲﾁﾛｳ</t>
  </si>
  <si>
    <t>甲斐　貴士</t>
  </si>
  <si>
    <t>ｶｲ ﾀｶｼ</t>
  </si>
  <si>
    <t>秦　大貴</t>
  </si>
  <si>
    <t>ﾊﾀ ﾀﾞｲｷ</t>
  </si>
  <si>
    <t>小東　亮</t>
  </si>
  <si>
    <t>ｺﾋｶﾞｼ ﾘｮｳ</t>
  </si>
  <si>
    <t>藤井　丈</t>
  </si>
  <si>
    <t>ﾌｼﾞｲ ｼﾞｮｳ</t>
  </si>
  <si>
    <t>丹良本　勘太</t>
  </si>
  <si>
    <t>ﾆﾗﾓﾄ ｶﾝﾀ</t>
  </si>
  <si>
    <t>西井　海斗</t>
  </si>
  <si>
    <t>ﾆｼｲ ｶｲﾄ</t>
  </si>
  <si>
    <t>松田　敬佑</t>
  </si>
  <si>
    <t>ﾏﾂﾀﾞ ｹｲｽｹ</t>
  </si>
  <si>
    <t>永澤　竜太郎</t>
  </si>
  <si>
    <t>ｴｲｻﾞﾜ ﾘｭｳﾀﾛｳ</t>
  </si>
  <si>
    <t>喜多　恭平</t>
  </si>
  <si>
    <t>ｷﾀﾞ ｷｮｳﾍｲ</t>
  </si>
  <si>
    <t>向井　達哉</t>
  </si>
  <si>
    <t>ﾑｶｲ ﾀﾂﾔ</t>
  </si>
  <si>
    <t>天方　英暢</t>
  </si>
  <si>
    <t>ｱﾏｶﾞﾀ ﾋﾃﾞﾉﾌﾞ</t>
  </si>
  <si>
    <t>川内　敬太</t>
  </si>
  <si>
    <t>ｶﾜﾁ ｹｲﾀ</t>
  </si>
  <si>
    <t>徳永　和馬</t>
  </si>
  <si>
    <t>ﾄｸﾅｶﾞ ｶｽﾞﾏ</t>
  </si>
  <si>
    <t>茅原　雅人</t>
  </si>
  <si>
    <t>ｶﾔﾊﾗ ﾏｻﾄ</t>
  </si>
  <si>
    <t>小西　龍太</t>
  </si>
  <si>
    <t>ｺﾆｼ ﾘｭｳﾀ</t>
  </si>
  <si>
    <t>上垣　亮</t>
  </si>
  <si>
    <t>ｳｴｶﾞｷ ﾘｮｳ</t>
  </si>
  <si>
    <t>沖　厚範</t>
  </si>
  <si>
    <t>ｵｷ ｱﾂﾉﾘ</t>
  </si>
  <si>
    <t>森田　啓聖</t>
  </si>
  <si>
    <t>ﾓﾘﾀ ﾋﾛﾏｻ</t>
  </si>
  <si>
    <t>秋山　弘樹</t>
  </si>
  <si>
    <t>ｱｷﾔﾏ ﾋﾛｷ</t>
  </si>
  <si>
    <t>黒川　勇瑠</t>
  </si>
  <si>
    <t>ｸﾛｶﾜ ﾀｹﾙ</t>
  </si>
  <si>
    <t>藤澤　亮裕</t>
  </si>
  <si>
    <t>ﾌｼﾞｻﾜ ｱｷﾋﾛ</t>
  </si>
  <si>
    <t>井上　裕介</t>
  </si>
  <si>
    <t>ｲﾉｳｴ ﾕｳｽｹ</t>
  </si>
  <si>
    <t>渡邉　敦也</t>
  </si>
  <si>
    <t>ﾜﾀﾅﾍﾞ ｱﾂﾔ</t>
  </si>
  <si>
    <t>宮本　大輝</t>
  </si>
  <si>
    <t>ﾐﾔﾓﾄ ﾀﾞｲｷ</t>
  </si>
  <si>
    <t>矢野　佑磨</t>
  </si>
  <si>
    <t>ﾔﾉ ﾕｳﾏ</t>
  </si>
  <si>
    <t>井上　雄太</t>
  </si>
  <si>
    <t>ｲﾉｳｴ ﾕｳﾀ</t>
  </si>
  <si>
    <t>松井　優</t>
  </si>
  <si>
    <t>ﾏﾂｲ ﾕｳ</t>
  </si>
  <si>
    <t>西岡　大輝</t>
  </si>
  <si>
    <t>ﾆｼｵｶ ﾀﾞｲｷ</t>
  </si>
  <si>
    <t>西岡　敦滉</t>
  </si>
  <si>
    <t>ﾆｼｵｶ ｱﾂﾋﾛ</t>
  </si>
  <si>
    <t>田村　康治</t>
  </si>
  <si>
    <t>ﾀﾑﾗ ｺｳｼﾞ</t>
  </si>
  <si>
    <t>鷲田　雄平</t>
  </si>
  <si>
    <t>ﾜｼﾀﾞ ﾕｳﾍｲ</t>
  </si>
  <si>
    <t>松本　幹也</t>
  </si>
  <si>
    <t>ﾏﾂﾓﾄ ﾐｷﾔ</t>
  </si>
  <si>
    <t>竹内　達也</t>
  </si>
  <si>
    <t>ﾀｹｳﾁ ﾀﾂﾔ</t>
  </si>
  <si>
    <t>河野　一伯</t>
  </si>
  <si>
    <t>ｺｳﾉ ｶｽﾞﾉﾘ</t>
  </si>
  <si>
    <t>中根　和也</t>
  </si>
  <si>
    <t>ﾅｶﾈ ｶｽﾞﾔ</t>
  </si>
  <si>
    <t>西野　凜也</t>
  </si>
  <si>
    <t>ﾆｼﾉ ﾘﾝﾔ</t>
  </si>
  <si>
    <t>池之原　純</t>
  </si>
  <si>
    <t>ｲｹﾉﾊﾗ ｼﾞｭﾝ</t>
  </si>
  <si>
    <t>濵元　大弥</t>
  </si>
  <si>
    <t>ﾊﾏﾓﾄ ﾋﾛﾔ</t>
  </si>
  <si>
    <t>堀川　聡哉</t>
  </si>
  <si>
    <t>ﾎﾘｶﾜ ｿｳﾔ</t>
  </si>
  <si>
    <t>金井　知紀</t>
  </si>
  <si>
    <t>ｶﾅｲ ﾄﾓｷ</t>
  </si>
  <si>
    <t>新林　亮</t>
  </si>
  <si>
    <t>ﾆｲﾊﾞﾔｼ ﾘｮｳ</t>
  </si>
  <si>
    <t>高木　純平</t>
  </si>
  <si>
    <t>ﾀｶｷﾞ ｼﾞｭﾝﾍﾟｲ</t>
  </si>
  <si>
    <t>小杉　孝仁</t>
  </si>
  <si>
    <t>ｺｽｷﾞ ﾀｶﾄ</t>
  </si>
  <si>
    <t>髙畑　秀次</t>
  </si>
  <si>
    <t>ﾀｶﾊﾀ ｼｭｳｼﾞ</t>
  </si>
  <si>
    <t>杉本　匠</t>
  </si>
  <si>
    <t>ｽｷﾞﾓﾄ ﾀｸﾐ</t>
  </si>
  <si>
    <t>相原　駿斗</t>
  </si>
  <si>
    <t>ｱｲﾊﾞﾗ ﾊﾔﾄ</t>
  </si>
  <si>
    <t>石丸　翔大</t>
  </si>
  <si>
    <t>ｲｼﾏﾙ ｼｮｳﾀﾞｲ</t>
  </si>
  <si>
    <t>梶原　銀二</t>
  </si>
  <si>
    <t>ｶｼﾞﾜﾗ ｷﾞﾝｼﾞ</t>
  </si>
  <si>
    <t>八木　隆平</t>
  </si>
  <si>
    <t>ﾔｷﾞ ﾘｭｳﾍｲ</t>
  </si>
  <si>
    <t>真鍋　比呂</t>
  </si>
  <si>
    <t>ﾏﾅﾍﾞ ﾋﾛ</t>
  </si>
  <si>
    <t>河北　竜治</t>
  </si>
  <si>
    <t>ｶﾜｷﾀ ﾘｭｳｼﾞ</t>
  </si>
  <si>
    <t>近藤　克也</t>
  </si>
  <si>
    <t>ｺﾝﾄﾞｳ ｶﾂﾔ</t>
  </si>
  <si>
    <t>鈴木　慶彦</t>
  </si>
  <si>
    <t>ｽｽﾞｷ ﾖｼﾋｺ</t>
  </si>
  <si>
    <t>松岡　拓磨</t>
  </si>
  <si>
    <t>ﾏﾂｵｶ ﾀｸﾏ</t>
  </si>
  <si>
    <t>三宅　裕一朗</t>
  </si>
  <si>
    <t>ﾐﾔｹ ﾕｳｲﾁﾛｳ</t>
  </si>
  <si>
    <t>山下　隆祐</t>
  </si>
  <si>
    <t>ﾔﾏｼﾀ ﾘｭｳｽｹ</t>
  </si>
  <si>
    <t>山本　将也</t>
  </si>
  <si>
    <t>ﾔﾏﾓﾄ ﾏｻﾔ</t>
  </si>
  <si>
    <t>吉武　歩人</t>
  </si>
  <si>
    <t>ﾖｼﾀｹ ｱﾙﾄ</t>
  </si>
  <si>
    <t>川崎医療短期大学</t>
  </si>
  <si>
    <t>倉持　雄大</t>
  </si>
  <si>
    <t>ｸﾗﾓﾁ ﾕｳﾀﾞｲ</t>
  </si>
  <si>
    <t>珠山　信昭</t>
  </si>
  <si>
    <t>ﾀﾏﾔﾏ ｼﾝｼｮｳ</t>
  </si>
  <si>
    <t>永戸　亜輝</t>
  </si>
  <si>
    <t>ﾅｶﾞﾄ ｱｷ</t>
  </si>
  <si>
    <t>井阪　謙太</t>
  </si>
  <si>
    <t>ｲｻｶ ｹﾝﾀ</t>
  </si>
  <si>
    <t>大久保　征</t>
  </si>
  <si>
    <t>ｵｵｸﾎﾞ ｾｲ</t>
  </si>
  <si>
    <t>門田　準平</t>
  </si>
  <si>
    <t>ｶﾄﾞﾀ ｼﾞｭﾝﾍﾟｲ</t>
  </si>
  <si>
    <t>川相　有佑</t>
  </si>
  <si>
    <t>ｶﾜｲ ﾕｳ</t>
  </si>
  <si>
    <t>川原　航平</t>
  </si>
  <si>
    <t>ｶﾜﾊﾗ ｺｳﾍｲ</t>
  </si>
  <si>
    <t>相田　和之</t>
  </si>
  <si>
    <t>ｿｳﾀﾞ ｶｽﾞﾕｷ</t>
  </si>
  <si>
    <t>仁尾　陽介</t>
  </si>
  <si>
    <t>ﾆｵ ﾖｳｽｹ</t>
  </si>
  <si>
    <t>松尾　香太郎</t>
  </si>
  <si>
    <t>ﾏﾂｵ ｺｳﾀﾛｳ</t>
  </si>
  <si>
    <t>宇部フロンティア大学</t>
  </si>
  <si>
    <t>森崎　智貴</t>
  </si>
  <si>
    <t>ﾓﾘｻｷ ﾄﾓｷ</t>
  </si>
  <si>
    <t>高木　義史</t>
  </si>
  <si>
    <t>ﾀｶｷ ﾖｼﾌﾐ</t>
  </si>
  <si>
    <t>森　大樹</t>
  </si>
  <si>
    <t>ﾓﾘ ﾀﾞｲｷ</t>
  </si>
  <si>
    <t>河口　晃基</t>
  </si>
  <si>
    <t>森田　譲</t>
  </si>
  <si>
    <t>ﾓﾘﾀ ｼﾞｮｳ</t>
  </si>
  <si>
    <t>阿南工業高等専門学校</t>
  </si>
  <si>
    <t>麻植　一輝</t>
  </si>
  <si>
    <t>ｵｴ ｶｽﾞｷ</t>
  </si>
  <si>
    <t>高知県立大学</t>
  </si>
  <si>
    <t>沖本　篤志</t>
  </si>
  <si>
    <t>ｵｷﾓﾄ ｱﾂｼ</t>
  </si>
  <si>
    <t>中屋　俊紀</t>
  </si>
  <si>
    <t>ﾅｶﾔ ﾄｼｷ</t>
  </si>
  <si>
    <t>續木　一真</t>
  </si>
  <si>
    <t>ﾂﾂﾞｷ ｶｽﾞﾏ</t>
  </si>
  <si>
    <t>窪田　貴宏</t>
  </si>
  <si>
    <t>ｸﾎﾞﾀ ﾀｶﾋﾛ</t>
  </si>
  <si>
    <t>田中　優大</t>
  </si>
  <si>
    <t>ﾀﾅｶ ﾏｻﾋﾛ</t>
  </si>
  <si>
    <t>森岡　嵩斗</t>
  </si>
  <si>
    <t>ﾓﾘｵｶ ﾀｶﾄ</t>
  </si>
  <si>
    <t>小栁津　恭志</t>
  </si>
  <si>
    <t>ｵﾔｲｽﾞ ｷｮｳｼ</t>
  </si>
  <si>
    <t>坂口　翔太</t>
  </si>
  <si>
    <t>ｻｶｸﾞﾁ ｼｮｳﾀ</t>
  </si>
  <si>
    <t>原　浩樹</t>
  </si>
  <si>
    <t>岩本　直也</t>
  </si>
  <si>
    <t>ｲﾜﾓﾄ ﾅｵﾔ</t>
  </si>
  <si>
    <t>河合　海人</t>
  </si>
  <si>
    <t>ｶﾜｲ ｶｲﾄ</t>
  </si>
  <si>
    <t>原田　尭輝</t>
  </si>
  <si>
    <t>ﾊﾗﾀﾞ ﾀｶｷ</t>
  </si>
  <si>
    <t>長井　康太</t>
  </si>
  <si>
    <t>ﾅｶﾞｲ ｺｳﾀ</t>
  </si>
  <si>
    <t>生信　貴至</t>
  </si>
  <si>
    <t>ｲｷﾉﾌﾞ ﾀｶｼ</t>
  </si>
  <si>
    <t>藤井　亮佑</t>
  </si>
  <si>
    <t>ﾌｼﾞｲ ﾘｮｳｹ</t>
  </si>
  <si>
    <t>出原　潤一</t>
  </si>
  <si>
    <t>ｲﾃﾞﾊﾗ ｼﾞｭﾝｲﾁ</t>
  </si>
  <si>
    <t>矢田　光</t>
  </si>
  <si>
    <t>ﾔﾀﾞ ﾋｶﾙ</t>
  </si>
  <si>
    <t>山下　浩平</t>
  </si>
  <si>
    <t>ﾔﾏｼﾀ ｺｳﾍｲ</t>
  </si>
  <si>
    <t>福島　悠平</t>
  </si>
  <si>
    <t>ﾌｸｼﾏ ﾕｳﾍｲ</t>
  </si>
  <si>
    <t>古藤　快</t>
  </si>
  <si>
    <t>ｺﾄｳ ｶｲ</t>
  </si>
  <si>
    <t>加来　謙一</t>
  </si>
  <si>
    <t>ｶｸ ｹﾝｲﾁ</t>
  </si>
  <si>
    <t>小森　北斗</t>
  </si>
  <si>
    <t>ｺﾓﾘ ﾎｸﾄ</t>
  </si>
  <si>
    <t>小川　駿</t>
  </si>
  <si>
    <t>ｵｶﾞﾜ ｼｭﾝ</t>
  </si>
  <si>
    <t>徳留　悠己</t>
  </si>
  <si>
    <t>ﾄｸﾄﾞﾒ ﾕｳｷ</t>
  </si>
  <si>
    <t>西村　瀬那</t>
  </si>
  <si>
    <t>ﾆｼﾑﾗ ｾﾅ</t>
  </si>
  <si>
    <t>内藤　大暉</t>
  </si>
  <si>
    <t>ﾅｲﾄｳ ﾀﾞｲｷ</t>
  </si>
  <si>
    <t>吉村　蓮</t>
  </si>
  <si>
    <t>ﾖｼﾑﾗ ﾚﾝ</t>
  </si>
  <si>
    <t>高木　琢也</t>
  </si>
  <si>
    <t>ﾀｶｷ ﾀｸﾔ</t>
  </si>
  <si>
    <t>安藤　隆文</t>
  </si>
  <si>
    <t>ｱﾝﾄﾞｳ ﾀｶﾌﾐ</t>
  </si>
  <si>
    <t>徳島　真幸</t>
  </si>
  <si>
    <t>ﾄｸｼﾏ ﾏｻﾕｷ</t>
  </si>
  <si>
    <t>田尻　泰醇</t>
  </si>
  <si>
    <t>ﾀｼﾞﾘ ﾀｲｼﾞｭﾝ</t>
  </si>
  <si>
    <t>石川　順典</t>
  </si>
  <si>
    <t>ｲｼｶﾜ ｼﾞｭﾝｽｹ</t>
  </si>
  <si>
    <t>田平　賢次郎</t>
  </si>
  <si>
    <t>ﾀﾋﾞﾗ ｹﾝｼﾞﾛｳ</t>
  </si>
  <si>
    <t>稲葉　直人</t>
  </si>
  <si>
    <t>ｲﾅﾊﾞ ﾅｵﾄ</t>
  </si>
  <si>
    <t>大津　優音</t>
  </si>
  <si>
    <t>ｵｵﾂ ﾏｻﾄ</t>
  </si>
  <si>
    <t>奥垣内　魁</t>
  </si>
  <si>
    <t>ｵｸｶﾞｷｳﾁ ｶｲ</t>
  </si>
  <si>
    <t>中谷　圭一朗</t>
  </si>
  <si>
    <t>ﾅｶﾀﾆ ｹｲｲﾁﾛｳ</t>
  </si>
  <si>
    <t>山本　雄大</t>
  </si>
  <si>
    <t>吉本　憲矢</t>
  </si>
  <si>
    <t>ﾖｼﾓﾄ ｹﾝﾔ</t>
  </si>
  <si>
    <t>岡田　知之</t>
  </si>
  <si>
    <t>ｵｶﾀﾞ ﾄﾓﾕｷ</t>
  </si>
  <si>
    <t>井川　尊瑛</t>
  </si>
  <si>
    <t>ｲｶﾜ ﾀｶｱｷ</t>
  </si>
  <si>
    <t>桑田　起雄</t>
  </si>
  <si>
    <t>ｸﾜﾀﾞ ﾀﾂｵ</t>
  </si>
  <si>
    <t>淺野　龍乃佑</t>
  </si>
  <si>
    <t>ｱｻﾉ ﾘｭｳﾉｽｹ</t>
  </si>
  <si>
    <t>木島　拓也</t>
  </si>
  <si>
    <t>ｷｼﾏ ﾀｸﾔ</t>
  </si>
  <si>
    <t>有田　光希</t>
  </si>
  <si>
    <t>ｱﾘﾀ ｺｳｷ</t>
  </si>
  <si>
    <t>佐藤　光俊</t>
  </si>
  <si>
    <t>ｻﾄｳ ﾐﾂﾄｼ</t>
  </si>
  <si>
    <t>徳島　渉太朗</t>
  </si>
  <si>
    <t>ﾄｸｼﾏ ｼｮｳﾀﾛｳ</t>
  </si>
  <si>
    <t>鈴木　遼</t>
  </si>
  <si>
    <t>ｽｽﾞｷ ﾊﾙｶ</t>
  </si>
  <si>
    <t>中原　祥</t>
  </si>
  <si>
    <t>ﾅｶﾊﾗ ｼｮｳ</t>
  </si>
  <si>
    <t>石川　遼太郎</t>
  </si>
  <si>
    <t>ｲｼｶﾜ ﾘｮｳﾀﾛｳ</t>
  </si>
  <si>
    <t>伊勢　一貴</t>
  </si>
  <si>
    <t>ｲｾ ｶｽﾞｷ</t>
  </si>
  <si>
    <t>磯村　知輝</t>
  </si>
  <si>
    <t>ｲｿﾑﾗ ﾄﾓｷ</t>
  </si>
  <si>
    <t>入江　廉太郎</t>
  </si>
  <si>
    <t>ｲﾘｴ ﾚﾝﾀﾛｳ</t>
  </si>
  <si>
    <t>奥田　大樹</t>
  </si>
  <si>
    <t>ｵｸﾀﾞ ﾀｲｷ</t>
  </si>
  <si>
    <t>佐々木　匡彦</t>
  </si>
  <si>
    <t>ｻｻｷ ﾏｻﾋｺ</t>
  </si>
  <si>
    <t>属　皓平</t>
  </si>
  <si>
    <t>ｻｯｶ ｺｳﾍｲ</t>
  </si>
  <si>
    <t>澤村　久佳</t>
  </si>
  <si>
    <t>ｻﾜﾑﾗ ﾋｻﾖｼ</t>
  </si>
  <si>
    <t>澁田　雄矢</t>
  </si>
  <si>
    <t>ｼﾌﾞﾀ ﾕｳﾔ</t>
  </si>
  <si>
    <t>瀬尾　真之</t>
  </si>
  <si>
    <t>ｾｵ ﾏｻﾕｷ</t>
  </si>
  <si>
    <t>竹之内　一志</t>
  </si>
  <si>
    <t>ﾀｹﾉｳﾁ ｶｽﾞｼ</t>
  </si>
  <si>
    <t>村上　将一</t>
  </si>
  <si>
    <t>ﾑﾗｶﾐ ｼｮｳｲﾁ</t>
  </si>
  <si>
    <t>村上　優太</t>
  </si>
  <si>
    <t>ﾑﾗｶﾐ ﾕｳﾀ</t>
  </si>
  <si>
    <t>森重　恒太</t>
  </si>
  <si>
    <t>ﾓﾘｼｹﾞ ｺｳﾀ</t>
  </si>
  <si>
    <t>吉田　昌広</t>
  </si>
  <si>
    <t>芳村　翼</t>
  </si>
  <si>
    <t>ﾖｼﾑﾗ ﾂﾊﾞｻ</t>
  </si>
  <si>
    <t>県立広島大学</t>
  </si>
  <si>
    <t>熊野　裕太</t>
  </si>
  <si>
    <t>ｸﾏﾉ ﾕｳﾀ</t>
  </si>
  <si>
    <t>有留　和輝</t>
  </si>
  <si>
    <t>ｱﾘﾄﾞﾒ ｶｽﾞｷ</t>
  </si>
  <si>
    <t>高橋　健太郎</t>
  </si>
  <si>
    <t>菅原　豊生</t>
  </si>
  <si>
    <t>ｽｶﾞﾊﾗ ﾎｳｾｲ</t>
  </si>
  <si>
    <t>嶋　佑介</t>
  </si>
  <si>
    <t>ｼﾏ ﾕｳｽｹ</t>
  </si>
  <si>
    <t>武部　竜征</t>
  </si>
  <si>
    <t>ﾀｹﾍﾞ ﾘｭｳｾｲ</t>
  </si>
  <si>
    <t>清水　裕貴</t>
  </si>
  <si>
    <t>ｼﾐｽﾞ ﾋﾛｷ</t>
  </si>
  <si>
    <t>辻　翔吾</t>
  </si>
  <si>
    <t>ﾂｼﾞ ｼｮｳｺﾞ</t>
  </si>
  <si>
    <t>永田　敦士</t>
  </si>
  <si>
    <t>ﾅｶﾞﾀ ｱﾂｼ</t>
  </si>
  <si>
    <t>簑田　慎太朗</t>
  </si>
  <si>
    <t>ﾐﾉﾀﾞ ｼﾝﾀﾛｳ</t>
  </si>
  <si>
    <t>坂口　礼章</t>
  </si>
  <si>
    <t>ｻｶｸﾞﾁ ﾉﾘｱｷ</t>
  </si>
  <si>
    <t>萩森　惇実</t>
  </si>
  <si>
    <t>ﾊｷﾞﾓﾘ ｱﾂﾐ</t>
  </si>
  <si>
    <t>武藤　慧</t>
  </si>
  <si>
    <t>ﾑﾄｳ ｻﾄｼ</t>
  </si>
  <si>
    <t>貞時　隆志</t>
  </si>
  <si>
    <t>ｻﾀﾞﾄｷ ﾀｶｼ</t>
  </si>
  <si>
    <t>乗重　敦誉</t>
  </si>
  <si>
    <t>ﾉﾘｼｹﾞ ｱﾂﾖｼ</t>
  </si>
  <si>
    <t>山口　昂汰</t>
  </si>
  <si>
    <t>加藤　浩之</t>
  </si>
  <si>
    <t>ｶﾄｳ ﾋﾛﾕｷ</t>
  </si>
  <si>
    <t>北島　慎太郎</t>
  </si>
  <si>
    <t>ｷﾀｼﾞﾏ ｼﾝﾀﾛｳ</t>
  </si>
  <si>
    <t>池本　龍星</t>
  </si>
  <si>
    <t>ｲｹﾓﾄ ﾘｭｳｾｲ</t>
  </si>
  <si>
    <t>原　和輝</t>
  </si>
  <si>
    <t>ﾊﾗ ｶｽﾞｷ</t>
  </si>
  <si>
    <t>瓦谷　駿介</t>
  </si>
  <si>
    <t>ｶﾜﾗﾀﾞﾆ ｼｭﾝｽｹ</t>
  </si>
  <si>
    <t>齋藤　直樹</t>
  </si>
  <si>
    <t>ｻｲﾄｳ ﾅｵｷ</t>
  </si>
  <si>
    <t>守屋　秀一郎</t>
  </si>
  <si>
    <t>ﾓﾘﾔ ｼｭｳｲﾁﾛｳ</t>
  </si>
  <si>
    <t>牧野　翔真</t>
  </si>
  <si>
    <t>ﾏｷﾉ ｼｮｳﾏ</t>
  </si>
  <si>
    <t>是石　幹文</t>
  </si>
  <si>
    <t>ｺﾚｲｼ ﾐｷﾌﾐ</t>
  </si>
  <si>
    <t>石井　嵩人</t>
  </si>
  <si>
    <t>ｲｼｲ ﾀｶﾄ</t>
  </si>
  <si>
    <t>川上　翔大</t>
  </si>
  <si>
    <t>ｶﾜｶﾐ ｼｮｳﾀ</t>
  </si>
  <si>
    <t>北村　恭史郎</t>
  </si>
  <si>
    <t>ｷﾀﾑﾗ ｷｮｳｼﾛｳ</t>
  </si>
  <si>
    <t>橘　幸作</t>
  </si>
  <si>
    <t>ﾀﾁﾊﾞﾅ ｺｳｻｸ</t>
  </si>
  <si>
    <t>D1</t>
  </si>
  <si>
    <t>６</t>
  </si>
  <si>
    <t>Ｍ1</t>
  </si>
  <si>
    <t>５</t>
  </si>
  <si>
    <t>４</t>
  </si>
  <si>
    <t>３</t>
  </si>
  <si>
    <t>２</t>
  </si>
  <si>
    <t>M3</t>
    <phoneticPr fontId="2"/>
  </si>
  <si>
    <t>大阪府</t>
    <phoneticPr fontId="2"/>
  </si>
  <si>
    <t>岡山県</t>
    <phoneticPr fontId="2"/>
  </si>
  <si>
    <t>950418</t>
  </si>
  <si>
    <t>951020</t>
  </si>
  <si>
    <t>970116</t>
  </si>
  <si>
    <t>921018</t>
  </si>
  <si>
    <t>940725</t>
  </si>
  <si>
    <t>960226</t>
  </si>
  <si>
    <t>950714</t>
  </si>
  <si>
    <t>911008</t>
  </si>
  <si>
    <t>920731</t>
  </si>
  <si>
    <t>930128</t>
  </si>
  <si>
    <t>940609</t>
  </si>
  <si>
    <t>940717</t>
  </si>
  <si>
    <t>960330</t>
  </si>
  <si>
    <t>950707</t>
  </si>
  <si>
    <t>891105</t>
  </si>
  <si>
    <t>910208</t>
  </si>
  <si>
    <t>870410</t>
  </si>
  <si>
    <t>910816</t>
  </si>
  <si>
    <t>910616</t>
  </si>
  <si>
    <t>930721</t>
  </si>
  <si>
    <t>910503</t>
  </si>
  <si>
    <t>880227</t>
  </si>
  <si>
    <t>920213</t>
  </si>
  <si>
    <t>940223</t>
  </si>
  <si>
    <t>800417</t>
  </si>
  <si>
    <t>950505</t>
  </si>
  <si>
    <t>960325</t>
  </si>
  <si>
    <t>931218</t>
  </si>
  <si>
    <t>950114</t>
  </si>
  <si>
    <t>950319</t>
  </si>
  <si>
    <t>941229</t>
  </si>
  <si>
    <t>920702</t>
  </si>
  <si>
    <t>920828</t>
  </si>
  <si>
    <t>940324</t>
  </si>
  <si>
    <t>920917</t>
  </si>
  <si>
    <t>920709</t>
  </si>
  <si>
    <t>930519</t>
  </si>
  <si>
    <t>950205</t>
  </si>
  <si>
    <t>940926</t>
  </si>
  <si>
    <t>960117</t>
  </si>
  <si>
    <t>950419</t>
  </si>
  <si>
    <t>950914</t>
  </si>
  <si>
    <t>911108</t>
  </si>
  <si>
    <t>921223</t>
  </si>
  <si>
    <t>940407</t>
  </si>
  <si>
    <t>950102</t>
  </si>
  <si>
    <t>950722</t>
  </si>
  <si>
    <t>950227</t>
  </si>
  <si>
    <t>950901</t>
  </si>
  <si>
    <t>940303</t>
  </si>
  <si>
    <t>960302</t>
  </si>
  <si>
    <t>930727</t>
  </si>
  <si>
    <t>930921</t>
  </si>
  <si>
    <t>930406</t>
  </si>
  <si>
    <t>931229</t>
  </si>
  <si>
    <t>930715</t>
  </si>
  <si>
    <t>950313</t>
  </si>
  <si>
    <t>950306</t>
  </si>
  <si>
    <t>940430</t>
  </si>
  <si>
    <t>941225</t>
  </si>
  <si>
    <t>940417</t>
  </si>
  <si>
    <t>960128</t>
  </si>
  <si>
    <t>940212</t>
  </si>
  <si>
    <t>950327</t>
  </si>
  <si>
    <t>940709</t>
  </si>
  <si>
    <t>940630</t>
  </si>
  <si>
    <t>950129</t>
  </si>
  <si>
    <t>941012</t>
  </si>
  <si>
    <t>941215</t>
  </si>
  <si>
    <t>941001</t>
  </si>
  <si>
    <t>940512</t>
  </si>
  <si>
    <t>960227</t>
  </si>
  <si>
    <t>930729</t>
  </si>
  <si>
    <t>950619</t>
  </si>
  <si>
    <t>920715</t>
  </si>
  <si>
    <t>940306</t>
  </si>
  <si>
    <t>940614</t>
  </si>
  <si>
    <t>930626</t>
  </si>
  <si>
    <t>950224</t>
  </si>
  <si>
    <t>950907</t>
  </si>
  <si>
    <t>931030</t>
  </si>
  <si>
    <t>900507</t>
  </si>
  <si>
    <t>920126</t>
  </si>
  <si>
    <t>910807</t>
  </si>
  <si>
    <t>860405</t>
  </si>
  <si>
    <t>911218</t>
  </si>
  <si>
    <t>920515</t>
  </si>
  <si>
    <t>920608</t>
  </si>
  <si>
    <t>920802</t>
  </si>
  <si>
    <t>910516</t>
  </si>
  <si>
    <t>920911</t>
  </si>
  <si>
    <t>920626</t>
  </si>
  <si>
    <t>930903</t>
  </si>
  <si>
    <t>940115</t>
  </si>
  <si>
    <t>931006</t>
  </si>
  <si>
    <t>940205</t>
  </si>
  <si>
    <t>931109</t>
  </si>
  <si>
    <t>931112</t>
  </si>
  <si>
    <t>930608</t>
  </si>
  <si>
    <t>940824</t>
  </si>
  <si>
    <t>940716</t>
  </si>
  <si>
    <t>940603</t>
  </si>
  <si>
    <t>940613</t>
  </si>
  <si>
    <t>941007</t>
  </si>
  <si>
    <t>940527</t>
  </si>
  <si>
    <t>951116</t>
  </si>
  <si>
    <t>951016</t>
  </si>
  <si>
    <t>940605</t>
  </si>
  <si>
    <t>950812</t>
  </si>
  <si>
    <t>950701</t>
  </si>
  <si>
    <t>950420</t>
  </si>
  <si>
    <t>951115</t>
  </si>
  <si>
    <t>950824</t>
  </si>
  <si>
    <t>951217</t>
  </si>
  <si>
    <t>950724</t>
  </si>
  <si>
    <t>910411</t>
  </si>
  <si>
    <t>900424</t>
  </si>
  <si>
    <t>870612</t>
  </si>
  <si>
    <t>901218</t>
  </si>
  <si>
    <t>901121</t>
  </si>
  <si>
    <t>910717</t>
  </si>
  <si>
    <t>940309</t>
  </si>
  <si>
    <t>940203</t>
  </si>
  <si>
    <t>910409</t>
  </si>
  <si>
    <t>920619</t>
  </si>
  <si>
    <t>930712</t>
  </si>
  <si>
    <t>941027</t>
  </si>
  <si>
    <t>931126</t>
  </si>
  <si>
    <t>930910</t>
  </si>
  <si>
    <t>951114</t>
  </si>
  <si>
    <t>950627</t>
  </si>
  <si>
    <t>970319</t>
  </si>
  <si>
    <t>951031</t>
  </si>
  <si>
    <t>940125</t>
  </si>
  <si>
    <t>930702</t>
  </si>
  <si>
    <t>930409</t>
  </si>
  <si>
    <t>941023</t>
  </si>
  <si>
    <t>941015</t>
  </si>
  <si>
    <t>950504</t>
  </si>
  <si>
    <t>930724</t>
  </si>
  <si>
    <t>930920</t>
  </si>
  <si>
    <t>930621</t>
  </si>
  <si>
    <t>931127</t>
  </si>
  <si>
    <t>940410</t>
  </si>
  <si>
    <t>960106</t>
  </si>
  <si>
    <t>940923</t>
  </si>
  <si>
    <t>961107</t>
  </si>
  <si>
    <t>920426</t>
  </si>
  <si>
    <t>960927</t>
  </si>
  <si>
    <t>960202</t>
  </si>
  <si>
    <t>870424</t>
  </si>
  <si>
    <t>910519</t>
  </si>
  <si>
    <t>920130</t>
  </si>
  <si>
    <t>920113</t>
  </si>
  <si>
    <t>911102</t>
  </si>
  <si>
    <t>930805</t>
  </si>
  <si>
    <t>930415</t>
  </si>
  <si>
    <t>940313</t>
  </si>
  <si>
    <t>951024</t>
  </si>
  <si>
    <t>920207</t>
  </si>
  <si>
    <t>921020</t>
  </si>
  <si>
    <t>931201</t>
  </si>
  <si>
    <t>911013</t>
  </si>
  <si>
    <t>910129</t>
  </si>
  <si>
    <t>940312</t>
  </si>
  <si>
    <t>951010</t>
  </si>
  <si>
    <t>960225</t>
  </si>
  <si>
    <t>951028</t>
  </si>
  <si>
    <t>941028</t>
  </si>
  <si>
    <t>940107</t>
  </si>
  <si>
    <t>900710</t>
  </si>
  <si>
    <t>920827</t>
  </si>
  <si>
    <t>930925</t>
  </si>
  <si>
    <t>960102</t>
  </si>
  <si>
    <t>960211</t>
  </si>
  <si>
    <t>930717</t>
  </si>
  <si>
    <t>951117</t>
  </si>
  <si>
    <t>950827</t>
  </si>
  <si>
    <t>960129</t>
  </si>
  <si>
    <t>960824</t>
  </si>
  <si>
    <t>960505</t>
  </si>
  <si>
    <t>960410</t>
  </si>
  <si>
    <t>951224</t>
  </si>
  <si>
    <t>950920</t>
  </si>
  <si>
    <t>960318</t>
  </si>
  <si>
    <t>930617</t>
  </si>
  <si>
    <t>930817</t>
  </si>
  <si>
    <t>930524</t>
  </si>
  <si>
    <t>940611</t>
  </si>
  <si>
    <t>950127</t>
  </si>
  <si>
    <t>940704</t>
  </si>
  <si>
    <t>950705</t>
  </si>
  <si>
    <t>960322</t>
  </si>
  <si>
    <t>931223</t>
  </si>
  <si>
    <t>930107</t>
  </si>
  <si>
    <t>891012</t>
  </si>
  <si>
    <t>950302</t>
  </si>
  <si>
    <t>930109</t>
  </si>
  <si>
    <t>910629</t>
  </si>
  <si>
    <t>930204</t>
  </si>
  <si>
    <t>920627</t>
  </si>
  <si>
    <t>910701</t>
  </si>
  <si>
    <t>920407</t>
  </si>
  <si>
    <t>940308</t>
  </si>
  <si>
    <t>950315</t>
  </si>
  <si>
    <t>950620</t>
  </si>
  <si>
    <t>950618</t>
  </si>
  <si>
    <t>940112</t>
  </si>
  <si>
    <t>950702</t>
  </si>
  <si>
    <t>951209</t>
  </si>
  <si>
    <t>950426</t>
  </si>
  <si>
    <t>940823</t>
  </si>
  <si>
    <t>941128</t>
  </si>
  <si>
    <t>930928</t>
  </si>
  <si>
    <t>930825</t>
  </si>
  <si>
    <t>880905</t>
  </si>
  <si>
    <t>930926</t>
  </si>
  <si>
    <t>940819</t>
  </si>
  <si>
    <t>951112</t>
  </si>
  <si>
    <t>920902</t>
  </si>
  <si>
    <t>910912</t>
  </si>
  <si>
    <t>931123</t>
  </si>
  <si>
    <t>921108</t>
  </si>
  <si>
    <t>930815</t>
  </si>
  <si>
    <t>940514</t>
  </si>
  <si>
    <t>940526</t>
  </si>
  <si>
    <t>920726</t>
  </si>
  <si>
    <t>921112</t>
  </si>
  <si>
    <t>910405</t>
  </si>
  <si>
    <t>911112</t>
  </si>
  <si>
    <t>940507</t>
  </si>
  <si>
    <t>910925</t>
  </si>
  <si>
    <t>911025</t>
  </si>
  <si>
    <t>910501</t>
  </si>
  <si>
    <t>930226</t>
  </si>
  <si>
    <t>910703</t>
  </si>
  <si>
    <t>930802</t>
  </si>
  <si>
    <t>931122</t>
  </si>
  <si>
    <t>941118</t>
  </si>
  <si>
    <t>941120</t>
  </si>
  <si>
    <t>940316</t>
  </si>
  <si>
    <t>951219</t>
  </si>
  <si>
    <t>950710</t>
  </si>
  <si>
    <t>960101</t>
  </si>
  <si>
    <t>931207</t>
  </si>
  <si>
    <t>910812</t>
  </si>
  <si>
    <t>931110</t>
  </si>
  <si>
    <t>950101</t>
  </si>
  <si>
    <t>970204</t>
  </si>
  <si>
    <t>950425</t>
  </si>
  <si>
    <t>930326</t>
  </si>
  <si>
    <t>890102</t>
  </si>
  <si>
    <t>900630</t>
  </si>
  <si>
    <t>900709</t>
  </si>
  <si>
    <t>871005</t>
  </si>
  <si>
    <t>930820</t>
  </si>
  <si>
    <t>940419</t>
  </si>
  <si>
    <t>930912</t>
  </si>
  <si>
    <t>921203</t>
  </si>
  <si>
    <t>930401</t>
  </si>
  <si>
    <t>931105</t>
  </si>
  <si>
    <t>930513</t>
  </si>
  <si>
    <t>930527</t>
  </si>
  <si>
    <t>931116</t>
  </si>
  <si>
    <t>930627</t>
  </si>
  <si>
    <t>941107</t>
  </si>
  <si>
    <t>940416</t>
  </si>
  <si>
    <t>940812</t>
  </si>
  <si>
    <t>940807</t>
  </si>
  <si>
    <t>941227</t>
  </si>
  <si>
    <t>960214</t>
  </si>
  <si>
    <t>950412</t>
  </si>
  <si>
    <t>960209</t>
  </si>
  <si>
    <t>951012</t>
  </si>
  <si>
    <t>950709</t>
  </si>
  <si>
    <t>950622</t>
  </si>
  <si>
    <t>940814</t>
  </si>
  <si>
    <t>930509</t>
  </si>
  <si>
    <t>930520</t>
  </si>
  <si>
    <t>960810</t>
  </si>
  <si>
    <t>960905</t>
  </si>
  <si>
    <t>970102</t>
  </si>
  <si>
    <t>960626</t>
  </si>
  <si>
    <t>961113</t>
  </si>
  <si>
    <t>960714</t>
  </si>
  <si>
    <t>941222</t>
  </si>
  <si>
    <t>950429</t>
  </si>
  <si>
    <t>950904</t>
  </si>
  <si>
    <t>960531</t>
  </si>
  <si>
    <t>961018</t>
  </si>
  <si>
    <t>970126</t>
  </si>
  <si>
    <t>960805</t>
  </si>
  <si>
    <t>960508</t>
  </si>
  <si>
    <t>960719</t>
  </si>
  <si>
    <t>960423</t>
  </si>
  <si>
    <t>970328</t>
  </si>
  <si>
    <t>951022</t>
  </si>
  <si>
    <t>961221</t>
  </si>
  <si>
    <t>970206</t>
  </si>
  <si>
    <t>950825</t>
  </si>
  <si>
    <t>960726</t>
  </si>
  <si>
    <t>940907</t>
  </si>
  <si>
    <t>960504</t>
  </si>
  <si>
    <t>960404</t>
  </si>
  <si>
    <t>960521</t>
  </si>
  <si>
    <t>960916</t>
  </si>
  <si>
    <t>960615</t>
  </si>
  <si>
    <t>970329</t>
  </si>
  <si>
    <t>970228</t>
  </si>
  <si>
    <t>970227</t>
  </si>
  <si>
    <t>960915</t>
  </si>
  <si>
    <t>970324</t>
  </si>
  <si>
    <t>961231</t>
  </si>
  <si>
    <t>960730</t>
  </si>
  <si>
    <t>961202</t>
  </si>
  <si>
    <t>960831</t>
  </si>
  <si>
    <t>960801</t>
  </si>
  <si>
    <t>960523</t>
  </si>
  <si>
    <t>960903</t>
  </si>
  <si>
    <t>910216</t>
  </si>
  <si>
    <t>920520</t>
  </si>
  <si>
    <t>960503</t>
  </si>
  <si>
    <t>890618</t>
  </si>
  <si>
    <t>970207</t>
  </si>
  <si>
    <t>970105</t>
  </si>
  <si>
    <t>960630</t>
  </si>
  <si>
    <t>970114</t>
  </si>
  <si>
    <t>960708</t>
  </si>
  <si>
    <t>960817</t>
  </si>
  <si>
    <t>970107</t>
  </si>
  <si>
    <t>961026</t>
  </si>
  <si>
    <t>960610</t>
  </si>
  <si>
    <t>970219</t>
  </si>
  <si>
    <t>970128</t>
  </si>
  <si>
    <t>960426</t>
  </si>
  <si>
    <t>970308</t>
  </si>
  <si>
    <t>960407</t>
  </si>
  <si>
    <t>960613</t>
  </si>
  <si>
    <t>961224</t>
  </si>
  <si>
    <t>970213</t>
  </si>
  <si>
    <t>961106</t>
  </si>
  <si>
    <t>960929</t>
  </si>
  <si>
    <t>920127</t>
  </si>
  <si>
    <t>920318</t>
  </si>
  <si>
    <t>970330</t>
  </si>
  <si>
    <t>970209</t>
  </si>
  <si>
    <t>960525</t>
  </si>
  <si>
    <t>960728</t>
  </si>
  <si>
    <t>960902</t>
  </si>
  <si>
    <t>920920</t>
  </si>
  <si>
    <t>970216</t>
  </si>
  <si>
    <t>920727</t>
  </si>
  <si>
    <t>970302</t>
  </si>
  <si>
    <t>951215</t>
  </si>
  <si>
    <t>941204</t>
  </si>
  <si>
    <t>860313</t>
  </si>
  <si>
    <t>951108</t>
  </si>
  <si>
    <t>961019</t>
  </si>
  <si>
    <t>960701</t>
  </si>
  <si>
    <t>970202</t>
  </si>
  <si>
    <t>961101</t>
  </si>
  <si>
    <t>961004</t>
  </si>
  <si>
    <t>960809</t>
  </si>
  <si>
    <t>910610</t>
  </si>
  <si>
    <t>960723</t>
  </si>
  <si>
    <t>921102</t>
  </si>
  <si>
    <t>960412</t>
  </si>
  <si>
    <t>961105</t>
  </si>
  <si>
    <t>960605</t>
  </si>
  <si>
    <t>960201</t>
  </si>
  <si>
    <t>970311</t>
  </si>
  <si>
    <t>961213</t>
  </si>
  <si>
    <t>890819</t>
  </si>
  <si>
    <t>960603</t>
  </si>
  <si>
    <t>ノートルダム清心女子大学</t>
  </si>
  <si>
    <t>高知学園短期大学</t>
  </si>
  <si>
    <t>能瀬　亜紀</t>
  </si>
  <si>
    <t>老木　華</t>
  </si>
  <si>
    <t>榊原　絵美優</t>
  </si>
  <si>
    <t>藤井　麗</t>
  </si>
  <si>
    <t>小原　未陽</t>
  </si>
  <si>
    <t>京面　華菜惠</t>
  </si>
  <si>
    <t>手島　彩乃</t>
  </si>
  <si>
    <t>戸川　結惟</t>
  </si>
  <si>
    <t>河野　恵理花</t>
  </si>
  <si>
    <t>渡部　結</t>
  </si>
  <si>
    <t>的場　優花</t>
  </si>
  <si>
    <t>秀島　沙弥香</t>
  </si>
  <si>
    <t>秀島　美奈</t>
  </si>
  <si>
    <t>白川　友理</t>
  </si>
  <si>
    <t>石井　舞</t>
  </si>
  <si>
    <t>小柳　文香</t>
  </si>
  <si>
    <t>佐竹　春南</t>
  </si>
  <si>
    <t>清水　美来</t>
  </si>
  <si>
    <t>新山　桃子</t>
  </si>
  <si>
    <t>田中　宏美</t>
  </si>
  <si>
    <t>寺尾　美杏</t>
  </si>
  <si>
    <t>西岡　真衣香</t>
  </si>
  <si>
    <t>芳野　智香</t>
  </si>
  <si>
    <t>甲斐　澪奈</t>
  </si>
  <si>
    <t>金田　杏奈</t>
  </si>
  <si>
    <t>黒木　梨乃</t>
  </si>
  <si>
    <t>佐藤　千尋</t>
  </si>
  <si>
    <t>重信　瑠奈</t>
  </si>
  <si>
    <t>重信　玲奈</t>
  </si>
  <si>
    <t>重春　采音</t>
  </si>
  <si>
    <t>高上　夏美</t>
  </si>
  <si>
    <t>田中　愛華</t>
  </si>
  <si>
    <t>林　真衣</t>
  </si>
  <si>
    <t>林　美咲</t>
  </si>
  <si>
    <t>藤井　美帆</t>
  </si>
  <si>
    <t>堀田　璃紗</t>
  </si>
  <si>
    <t>山崎　遥奈</t>
  </si>
  <si>
    <t>吉坂　智香</t>
  </si>
  <si>
    <t>遠藤　朱莉</t>
  </si>
  <si>
    <t>﨑村　友理</t>
  </si>
  <si>
    <t>武市　くるみ</t>
  </si>
  <si>
    <t>野上　里沙</t>
  </si>
  <si>
    <t>福田　美裕</t>
  </si>
  <si>
    <t>村上　憂歌</t>
  </si>
  <si>
    <t>横井　優奈</t>
  </si>
  <si>
    <t>植村　友絵</t>
  </si>
  <si>
    <t>清家　果歩</t>
  </si>
  <si>
    <t>野村　幸誉</t>
  </si>
  <si>
    <t>牧原　香菜子</t>
  </si>
  <si>
    <t>原口　麻梨菜</t>
  </si>
  <si>
    <t>楢崎　由惟</t>
  </si>
  <si>
    <t>楢崎　由麻</t>
  </si>
  <si>
    <t>谷　茉由子</t>
  </si>
  <si>
    <t>三輪　ゆきの</t>
  </si>
  <si>
    <t>平田　美優希</t>
  </si>
  <si>
    <t>兒玉　えりか</t>
  </si>
  <si>
    <t>武内　菜緒</t>
  </si>
  <si>
    <t>綾　里奈</t>
  </si>
  <si>
    <t>兒玉　望</t>
  </si>
  <si>
    <t>横田　知佳</t>
  </si>
  <si>
    <t>竹安　あかね</t>
  </si>
  <si>
    <t>田中　園絵</t>
  </si>
  <si>
    <t>土田　真夕</t>
  </si>
  <si>
    <t>中島　友</t>
  </si>
  <si>
    <t>生天目　妃日理</t>
  </si>
  <si>
    <t>橋口　梓</t>
  </si>
  <si>
    <t>木戸　恵理</t>
  </si>
  <si>
    <t>高木　瑠唯</t>
  </si>
  <si>
    <t>藤岡　奈津実</t>
  </si>
  <si>
    <t>山﨑　安寿</t>
  </si>
  <si>
    <t>山田　千花</t>
  </si>
  <si>
    <t>河口 沙織</t>
  </si>
  <si>
    <t>峠　香苗</t>
  </si>
  <si>
    <t>小林 紗知</t>
  </si>
  <si>
    <t>下江 奈津美</t>
  </si>
  <si>
    <t>秋田　祐果</t>
  </si>
  <si>
    <t>井藤　莉佳子</t>
  </si>
  <si>
    <t>岩田　祐衣</t>
  </si>
  <si>
    <t>岡田　奈都未</t>
  </si>
  <si>
    <t>小田　華</t>
  </si>
  <si>
    <t>兼重　陽香里</t>
  </si>
  <si>
    <t>積　真理愛</t>
  </si>
  <si>
    <t>宮澤　陽子</t>
  </si>
  <si>
    <t>兼重　実乃里</t>
  </si>
  <si>
    <t>中野　美月</t>
  </si>
  <si>
    <t>中川　恵莉</t>
  </si>
  <si>
    <t>西田　優衣</t>
  </si>
  <si>
    <t>安川　美緒</t>
  </si>
  <si>
    <t>濱本　美穂</t>
  </si>
  <si>
    <t>安野　結花</t>
  </si>
  <si>
    <t>青木　彩夏</t>
  </si>
  <si>
    <t>茶藤　沙紀</t>
  </si>
  <si>
    <t>竹葉　千春</t>
  </si>
  <si>
    <t>林　舞美</t>
  </si>
  <si>
    <t>中野　都</t>
  </si>
  <si>
    <t>古林　真希</t>
  </si>
  <si>
    <t>小野　みどり</t>
  </si>
  <si>
    <t>久松　花朱実</t>
  </si>
  <si>
    <t>三谷　美紀</t>
  </si>
  <si>
    <t>宗村　麻理子</t>
  </si>
  <si>
    <t>山田　みる</t>
  </si>
  <si>
    <t>吉田　らん</t>
  </si>
  <si>
    <t>渡邊　冴理</t>
  </si>
  <si>
    <t>大島　沙和子</t>
  </si>
  <si>
    <t>佐々木　舞</t>
  </si>
  <si>
    <t>清水　美希</t>
  </si>
  <si>
    <t>中里　亜美</t>
  </si>
  <si>
    <t>永田　沙紀</t>
  </si>
  <si>
    <t>宮迫　紗綾</t>
  </si>
  <si>
    <t>石飛　尚子</t>
  </si>
  <si>
    <t>浅尾　知佳</t>
  </si>
  <si>
    <t>筏津　沙紀</t>
  </si>
  <si>
    <t>飯島　可奈</t>
  </si>
  <si>
    <t>中尾　明日香</t>
  </si>
  <si>
    <t>廣賀　彩花</t>
  </si>
  <si>
    <t>堀　遥菜</t>
  </si>
  <si>
    <t>畑　愛美</t>
  </si>
  <si>
    <t>備後　真衣</t>
  </si>
  <si>
    <t>藤澤　雛子</t>
  </si>
  <si>
    <t>升尾　春奈</t>
  </si>
  <si>
    <t>延藤　永里子</t>
  </si>
  <si>
    <t>佐藤　ひめか</t>
  </si>
  <si>
    <t>堀之内　舞</t>
  </si>
  <si>
    <t>板垣　すみれ</t>
  </si>
  <si>
    <t>久保　みなみ</t>
  </si>
  <si>
    <t>酒井　彩伽</t>
  </si>
  <si>
    <t>阪田　安紀</t>
  </si>
  <si>
    <t>林　真結</t>
  </si>
  <si>
    <t>飯田　悠衣</t>
  </si>
  <si>
    <t>川竹　みのり</t>
  </si>
  <si>
    <t>尾中　美咲</t>
  </si>
  <si>
    <t>石田　彩乃</t>
  </si>
  <si>
    <t>馬場　友梨菜</t>
  </si>
  <si>
    <t>花光　美菜</t>
  </si>
  <si>
    <t>佐藤　真歩</t>
  </si>
  <si>
    <t>岩川　明日香</t>
  </si>
  <si>
    <t>金田　恵実</t>
  </si>
  <si>
    <t>池上　葉月</t>
  </si>
  <si>
    <t>岡田　あずさ</t>
  </si>
  <si>
    <t>小林　由佳</t>
  </si>
  <si>
    <t>多田羅　奈々</t>
  </si>
  <si>
    <t>浅井　聡子</t>
  </si>
  <si>
    <t>二宮　慧</t>
  </si>
  <si>
    <t>宮本　玲</t>
  </si>
  <si>
    <t>松原　玲奈</t>
  </si>
  <si>
    <t>田中　遥</t>
  </si>
  <si>
    <t>柳　幸恵</t>
  </si>
  <si>
    <t>島　里美</t>
  </si>
  <si>
    <t>宅和　汀紗</t>
  </si>
  <si>
    <t>宮武　摩耶</t>
    <rPh sb="3" eb="4">
      <t>マ</t>
    </rPh>
    <phoneticPr fontId="2"/>
  </si>
  <si>
    <t>岡崎　菜月</t>
  </si>
  <si>
    <t>林　淳子</t>
  </si>
  <si>
    <t>元山　さやか</t>
  </si>
  <si>
    <t>篠崎　真里奈</t>
  </si>
  <si>
    <t>山口　まどか</t>
  </si>
  <si>
    <t>藤本　尚美</t>
  </si>
  <si>
    <t>谷部　麗華</t>
  </si>
  <si>
    <t>山本　菜実</t>
  </si>
  <si>
    <t>柏木　美穂</t>
  </si>
  <si>
    <t>村尾　茉優</t>
  </si>
  <si>
    <t>居川　汐里</t>
  </si>
  <si>
    <t>谷口　あかり</t>
  </si>
  <si>
    <t>橋本　育</t>
  </si>
  <si>
    <t>白井　菜月</t>
  </si>
  <si>
    <t>藤田　優</t>
  </si>
  <si>
    <t>河野　まりあ</t>
  </si>
  <si>
    <t>福重　晴菜</t>
  </si>
  <si>
    <t>梶　成美</t>
  </si>
  <si>
    <t>河野　あさか</t>
  </si>
  <si>
    <t>村上　愛未</t>
  </si>
  <si>
    <t>和田　茉莉乃</t>
  </si>
  <si>
    <t>浦山　満里奈</t>
  </si>
  <si>
    <t>林　亜佑美</t>
  </si>
  <si>
    <t>橋本　理沙</t>
  </si>
  <si>
    <t>岡崎　愛由</t>
  </si>
  <si>
    <t>重政　菜香</t>
  </si>
  <si>
    <t>久保　こころ</t>
  </si>
  <si>
    <t>久保　佳加</t>
  </si>
  <si>
    <t>原田　佳奈</t>
  </si>
  <si>
    <t>浅野　遥奈</t>
  </si>
  <si>
    <t>山川　真季</t>
  </si>
  <si>
    <t>浅井　玲奈</t>
  </si>
  <si>
    <t>桑垣　詩織</t>
  </si>
  <si>
    <t>森実　あすか</t>
  </si>
  <si>
    <t>恩地　芳子</t>
  </si>
  <si>
    <t>河野　裕子</t>
  </si>
  <si>
    <t>脇　葵</t>
  </si>
  <si>
    <t>稲田　美咲</t>
  </si>
  <si>
    <t>鴻上　歩実</t>
  </si>
  <si>
    <t>曽根　真奈</t>
  </si>
  <si>
    <t>武井　晃穂</t>
  </si>
  <si>
    <t>若藤　愛梨</t>
  </si>
  <si>
    <t>上岡　春野</t>
  </si>
  <si>
    <t>山形　依舞</t>
  </si>
  <si>
    <t>香西　庸希</t>
  </si>
  <si>
    <t>増成　彩乃</t>
  </si>
  <si>
    <t>赤木　佑衣</t>
  </si>
  <si>
    <t>佐藤　麻衣</t>
  </si>
  <si>
    <t>平見　七海</t>
  </si>
  <si>
    <t>山﨑　志穂</t>
  </si>
  <si>
    <t>大西　夏季</t>
  </si>
  <si>
    <t>小谷　紗也華</t>
  </si>
  <si>
    <t>白井　優衣</t>
  </si>
  <si>
    <t>渡辺　真優子</t>
  </si>
  <si>
    <t>齋藤　麻菜美</t>
  </si>
  <si>
    <t>中本　早希</t>
  </si>
  <si>
    <t>藤井　里奈</t>
  </si>
  <si>
    <t>松村　愛理</t>
  </si>
  <si>
    <t>岡崎　霞</t>
  </si>
  <si>
    <t>清水　真央子</t>
  </si>
  <si>
    <t>奥原　佳乃子</t>
  </si>
  <si>
    <t>佐々木　あかり</t>
  </si>
  <si>
    <t>須田　仁美</t>
  </si>
  <si>
    <t>兼清　恵理</t>
  </si>
  <si>
    <t>片桐　麻衣</t>
  </si>
  <si>
    <t>松本　裕華</t>
  </si>
  <si>
    <t>松田　利奈子</t>
  </si>
  <si>
    <t>木村　蘭子</t>
  </si>
  <si>
    <t>桜田　舞歩</t>
  </si>
  <si>
    <t>原山　優</t>
  </si>
  <si>
    <t>野崎　菜美</t>
  </si>
  <si>
    <t>平田　夕実</t>
  </si>
  <si>
    <t>吉光　美陽</t>
  </si>
  <si>
    <t>嶋田　翔子</t>
  </si>
  <si>
    <t>星　ひかる</t>
  </si>
  <si>
    <t>広保　沙紀</t>
  </si>
  <si>
    <t>山橋　恵美子</t>
  </si>
  <si>
    <t>井上　紗希</t>
  </si>
  <si>
    <t>児玉　有紀</t>
  </si>
  <si>
    <t>野上　真理子</t>
  </si>
  <si>
    <t>田中　友梨</t>
  </si>
  <si>
    <t>寺山　栞菜</t>
  </si>
  <si>
    <t>和田　綾乃</t>
  </si>
  <si>
    <t>小林　三紗</t>
  </si>
  <si>
    <t>岸本　七海</t>
  </si>
  <si>
    <t>栗林　紗也香</t>
  </si>
  <si>
    <t>吉田　優香</t>
  </si>
  <si>
    <t>浅川　瑛梨奈</t>
  </si>
  <si>
    <t>淺海　真愉子</t>
  </si>
  <si>
    <t>松江　香奈</t>
  </si>
  <si>
    <t>吉本　茉莉永</t>
  </si>
  <si>
    <t>萩原　有香</t>
  </si>
  <si>
    <t>下山　裕子</t>
  </si>
  <si>
    <t>土居　あゆみ</t>
  </si>
  <si>
    <t>上川　紗友里</t>
  </si>
  <si>
    <t>川田　智惠</t>
    <rPh sb="4" eb="5">
      <t>メグミ</t>
    </rPh>
    <phoneticPr fontId="2"/>
  </si>
  <si>
    <t>川野　優香</t>
  </si>
  <si>
    <t>塩見　玲加</t>
  </si>
  <si>
    <t>竹中　ひかる</t>
  </si>
  <si>
    <t>横山　明日香</t>
  </si>
  <si>
    <t>松田　優美</t>
  </si>
  <si>
    <t>森岡　麻里</t>
  </si>
  <si>
    <t>鶴留　朋美</t>
  </si>
  <si>
    <t>岡　由依子</t>
  </si>
  <si>
    <t>桑渕　真帆</t>
  </si>
  <si>
    <t>田邉　夕佳</t>
    <rPh sb="1" eb="2">
      <t>ヘン</t>
    </rPh>
    <phoneticPr fontId="2"/>
  </si>
  <si>
    <t>青木　益未</t>
  </si>
  <si>
    <t>野口　歩美</t>
  </si>
  <si>
    <t>時吉　千聡</t>
  </si>
  <si>
    <t>川越　彩</t>
  </si>
  <si>
    <t>神宝　なるみ</t>
  </si>
  <si>
    <t>近藤　夏奈</t>
  </si>
  <si>
    <t>大西　沙稀</t>
  </si>
  <si>
    <t>松村　羽留伽</t>
  </si>
  <si>
    <t>香川　莉舞</t>
  </si>
  <si>
    <t>稲艸　夏姫</t>
  </si>
  <si>
    <t>井上　直子</t>
  </si>
  <si>
    <t>加島　元香</t>
  </si>
  <si>
    <t>亀岡　実鶴</t>
  </si>
  <si>
    <t>川田　理恵</t>
  </si>
  <si>
    <t>神田　春奈</t>
  </si>
  <si>
    <t>中野　莉穂</t>
  </si>
  <si>
    <t>西川　遥菜</t>
  </si>
  <si>
    <t>服部　真由</t>
  </si>
  <si>
    <t>花村　優</t>
  </si>
  <si>
    <t>藤井　希</t>
  </si>
  <si>
    <t>森下　日菜子</t>
  </si>
  <si>
    <t>山内　香苗</t>
  </si>
  <si>
    <t>山本　遥</t>
  </si>
  <si>
    <t>宮下　あかり</t>
  </si>
  <si>
    <t>大家　香那</t>
  </si>
  <si>
    <t>林　花鈴</t>
  </si>
  <si>
    <t>上杉　円香</t>
  </si>
  <si>
    <t>高見澤　安珠</t>
  </si>
  <si>
    <t>林　三紀子</t>
  </si>
  <si>
    <t>堀江　紗希</t>
  </si>
  <si>
    <t>中原　海鈴</t>
  </si>
  <si>
    <t>三島　美咲</t>
  </si>
  <si>
    <t>上原　明悠美</t>
  </si>
  <si>
    <t>松田　杏奈</t>
  </si>
  <si>
    <t>萩森　美咲</t>
  </si>
  <si>
    <t>田内　優衣</t>
  </si>
  <si>
    <t>松本　夕布奈</t>
  </si>
  <si>
    <t>池田　友香</t>
  </si>
  <si>
    <t>幾野　由里亜</t>
  </si>
  <si>
    <t>中澤　彩妃</t>
  </si>
  <si>
    <t>大庭　夏海</t>
  </si>
  <si>
    <t>折戸　萌</t>
  </si>
  <si>
    <t>小松　芽以</t>
  </si>
  <si>
    <t>菅原　友奈</t>
  </si>
  <si>
    <t>轟　亜弥</t>
  </si>
  <si>
    <t>溝部　文月</t>
  </si>
  <si>
    <t>山本　樹里</t>
  </si>
  <si>
    <t>村前　日奈子</t>
  </si>
  <si>
    <t>大楽　明日海</t>
  </si>
  <si>
    <t>谷川　晴美</t>
  </si>
  <si>
    <t>泉　景織子</t>
  </si>
  <si>
    <t>朝　絵美莉</t>
  </si>
  <si>
    <t>大片　史</t>
  </si>
  <si>
    <t>片山　宝子</t>
  </si>
  <si>
    <t>中野　育</t>
  </si>
  <si>
    <t>藤本　佑月</t>
  </si>
  <si>
    <t>三宅　美慶</t>
  </si>
  <si>
    <t>中上　智尋</t>
  </si>
  <si>
    <t>松原　優里</t>
  </si>
  <si>
    <t>小林　ひかる</t>
  </si>
  <si>
    <t>松岡　美祈</t>
  </si>
  <si>
    <t>福島　早織</t>
  </si>
  <si>
    <t>藤井　祐希</t>
  </si>
  <si>
    <t>後田　あやめ</t>
  </si>
  <si>
    <t>讃岐　美野</t>
  </si>
  <si>
    <t>佛原　こうり</t>
  </si>
  <si>
    <t>小山田　みなみ</t>
  </si>
  <si>
    <t>原　みづ穂</t>
  </si>
  <si>
    <t>馬場　梓</t>
  </si>
  <si>
    <t>石原　果歩</t>
  </si>
  <si>
    <t>小林　未怜</t>
  </si>
  <si>
    <t>上倉　希</t>
  </si>
  <si>
    <t>岡島　由佳</t>
  </si>
  <si>
    <t>沖田　春菜</t>
  </si>
  <si>
    <t>竹本　実桜</t>
  </si>
  <si>
    <t>横山　愛菜</t>
  </si>
  <si>
    <t>石川　陽菜</t>
  </si>
  <si>
    <t>山本　澪</t>
  </si>
  <si>
    <t>大塚　和</t>
  </si>
  <si>
    <t>奥住　朱香</t>
  </si>
  <si>
    <t>阪元　文佳</t>
  </si>
  <si>
    <t>古堅　絵梨花</t>
  </si>
  <si>
    <t>内村　優紀</t>
  </si>
  <si>
    <t>谷村　香菜子</t>
  </si>
  <si>
    <t>甫立　玲奈</t>
  </si>
  <si>
    <t>今村　亜子</t>
  </si>
  <si>
    <t>加藤　幸</t>
  </si>
  <si>
    <t>赤木　美保</t>
  </si>
  <si>
    <t>岡本　実里</t>
  </si>
  <si>
    <t>吉川　歩実</t>
  </si>
  <si>
    <t>片木　奈々</t>
  </si>
  <si>
    <t>木野戸　咲耶</t>
  </si>
  <si>
    <t>井上　琴葉</t>
  </si>
  <si>
    <t>近藤　玲名</t>
  </si>
  <si>
    <t>松岡　絵里</t>
  </si>
  <si>
    <t>船田　利恵</t>
  </si>
  <si>
    <t>平野　里佳</t>
  </si>
  <si>
    <t>吉村　葵夢弥</t>
  </si>
  <si>
    <t>八木　遥</t>
  </si>
  <si>
    <t>古谷　奏</t>
  </si>
  <si>
    <t>谷　珠祈</t>
  </si>
  <si>
    <t>藤原　あかね</t>
  </si>
  <si>
    <t>緒方　美咲</t>
  </si>
  <si>
    <t>岩市　桜子</t>
  </si>
  <si>
    <t>金山　遥香</t>
  </si>
  <si>
    <t>首藤　茉優</t>
  </si>
  <si>
    <t>青木　結子</t>
  </si>
  <si>
    <t>松浦　実</t>
  </si>
  <si>
    <t>渡部　鈴</t>
  </si>
  <si>
    <t>西山　直見</t>
  </si>
  <si>
    <t>角倉　佳峰</t>
  </si>
  <si>
    <t>大井　裕香子</t>
  </si>
  <si>
    <t>徳原　真奈美</t>
  </si>
  <si>
    <t>尾崎　穂乃香</t>
  </si>
  <si>
    <t>西脇　美咲</t>
  </si>
  <si>
    <t>横関　彩加</t>
  </si>
  <si>
    <t>朝日　佳奈</t>
  </si>
  <si>
    <t>三野　比花里</t>
  </si>
  <si>
    <t>小林　遥</t>
  </si>
  <si>
    <t>松廣　和沙</t>
  </si>
  <si>
    <t>岩本　悠里</t>
  </si>
  <si>
    <t>伊藤　真由美</t>
  </si>
  <si>
    <t>鳥越　優里</t>
  </si>
  <si>
    <t>部田　倭葉</t>
  </si>
  <si>
    <t>倉本　彩子</t>
  </si>
  <si>
    <t>志水　慈子</t>
  </si>
  <si>
    <t>多田　奏</t>
  </si>
  <si>
    <t>猪原　晴菜</t>
  </si>
  <si>
    <t>野口　愛美</t>
  </si>
  <si>
    <t>高　悠莉</t>
  </si>
  <si>
    <t>林　由佳</t>
  </si>
  <si>
    <t>篠﨑　遥</t>
  </si>
  <si>
    <t>山本　理紗</t>
  </si>
  <si>
    <t>畑中　優佳里</t>
  </si>
  <si>
    <t>小松　史歩</t>
  </si>
  <si>
    <t>村田　真美</t>
  </si>
  <si>
    <t>今竹　ひかる</t>
  </si>
  <si>
    <t>竹内 美優</t>
  </si>
  <si>
    <t>ﾉｾ ｱｷ</t>
  </si>
  <si>
    <t>ｵｲｷ ﾊﾅ</t>
  </si>
  <si>
    <t>ｻｶｷﾊﾗ ｴﾐﾕ</t>
  </si>
  <si>
    <t>ｽｽﾞｷ ﾏﾔ</t>
  </si>
  <si>
    <t>ﾌｼﾞｲ ｳﾗﾗ</t>
  </si>
  <si>
    <t>ｺﾊﾗ ﾐﾊﾙ</t>
  </si>
  <si>
    <t>ｷｮｳﾒﾝ ﾊﾅｴ</t>
  </si>
  <si>
    <t>ﾃｼﾏ ｱﾔﾉ</t>
  </si>
  <si>
    <t>ﾄｶﾞﾜ ﾕｲ</t>
  </si>
  <si>
    <t>ｺｳﾉ ｴﾘｶ</t>
  </si>
  <si>
    <t>ﾏﾄﾊﾞ ﾕｶ</t>
  </si>
  <si>
    <t>ﾋﾃﾞｼﾏ ｻﾔｶ</t>
  </si>
  <si>
    <t>ﾋﾃﾞｼﾏ ﾐﾅ</t>
  </si>
  <si>
    <t>ｼﾗｶﾜ ﾕﾘ</t>
  </si>
  <si>
    <t>ｲｼｲ ﾏｲ</t>
  </si>
  <si>
    <t>ｺﾔﾅｷﾞ ﾌﾐｶ</t>
  </si>
  <si>
    <t>ｻﾀｹ ﾊﾙﾅ</t>
  </si>
  <si>
    <t>ｼﾐｽﾞ ﾐﾗｲ</t>
  </si>
  <si>
    <t>ｼﾝﾔﾏ ﾓﾓｺ</t>
  </si>
  <si>
    <t>ﾀﾅｶ ﾋﾛﾐ</t>
  </si>
  <si>
    <t>ﾃﾗｵ ﾐｷ</t>
  </si>
  <si>
    <t>ﾆｼｵｶ ﾏｲｶ</t>
  </si>
  <si>
    <t>ﾖｼﾉ ﾄﾓｶ</t>
  </si>
  <si>
    <t>ｶｲ ﾚｲﾅ</t>
  </si>
  <si>
    <t>ｶﾈﾀﾞ ｱﾝﾅ</t>
  </si>
  <si>
    <t>ｸﾛｷﾞ ﾘﾉ</t>
  </si>
  <si>
    <t>ｻﾄｳ ﾁﾋﾛ</t>
  </si>
  <si>
    <t>ｼｹﾞﾉﾌﾞ ﾙﾅ</t>
  </si>
  <si>
    <t>ｼｹﾞﾉﾌﾞ ﾚﾅ</t>
  </si>
  <si>
    <t>ｼｹﾞﾊﾙ ｱﾔﾈ</t>
  </si>
  <si>
    <t>ﾀｶｳｴ ﾅﾂﾐ</t>
  </si>
  <si>
    <t>ﾀﾅｶ ｱｲｶ</t>
  </si>
  <si>
    <t>ﾊﾔｼ ﾏｲ</t>
  </si>
  <si>
    <t>ﾊﾔｼ ﾐｻｷ</t>
  </si>
  <si>
    <t>ﾌｼﾞｲ ﾐﾎ</t>
  </si>
  <si>
    <t>ﾎﾘﾀ ﾘｻ</t>
  </si>
  <si>
    <t>ﾔﾏｻﾞｷ ﾊﾙﾅ</t>
  </si>
  <si>
    <t>ﾖｼｻﾞｶ ﾁｶ</t>
  </si>
  <si>
    <t>ｴﾝﾄﾞｳ ｱｶﾘ</t>
  </si>
  <si>
    <t>ｻｷﾑﾗ ﾕﾘ</t>
  </si>
  <si>
    <t>ﾀｹﾁ ｸﾙﾐ</t>
  </si>
  <si>
    <t>ﾉｶﾞﾐ ﾘｻ</t>
  </si>
  <si>
    <t>ﾌｸﾀﾞ ﾐﾕ</t>
  </si>
  <si>
    <t>ﾑﾗｶﾐ ﾕｳｶ</t>
  </si>
  <si>
    <t>ﾖｺｲ ﾕｳﾅ</t>
  </si>
  <si>
    <t>ｳｴﾑﾗ ﾄﾓｴ</t>
  </si>
  <si>
    <t>ｾｲｹ ｶﾎ</t>
  </si>
  <si>
    <t>ﾉﾑﾗ ｻﾁﾎ</t>
  </si>
  <si>
    <t>ﾏｷﾊﾗ ｶﾅｺ</t>
  </si>
  <si>
    <t>ﾊﾗｸﾞﾁ ﾏﾘﾅ</t>
  </si>
  <si>
    <t>ﾅﾗｻｷ ﾕｲ</t>
  </si>
  <si>
    <t>ﾅﾗｻｷ ﾕﾏ</t>
  </si>
  <si>
    <t>ﾀﾆ ﾏﾕｺ</t>
  </si>
  <si>
    <t>ﾐﾜ ﾕｷﾉ</t>
  </si>
  <si>
    <t>ﾋﾗﾀ ﾐﾕｷ</t>
  </si>
  <si>
    <t>ｺﾀﾞﾏ ｴﾘｶ</t>
  </si>
  <si>
    <t>ﾀｹｳﾁ ﾅｵ</t>
  </si>
  <si>
    <t>ｱﾔ ﾘﾅ</t>
  </si>
  <si>
    <t>ｺﾀﾞﾏ ﾉｿﾞﾐ</t>
  </si>
  <si>
    <t>ﾖｺﾀ ﾁｶ</t>
  </si>
  <si>
    <t>ﾀｹﾔｽ ｱｶﾈ</t>
  </si>
  <si>
    <t>ﾀﾅｶ ｿﾉｴ</t>
  </si>
  <si>
    <t>ﾂﾁﾀﾞ ﾏﾕ</t>
  </si>
  <si>
    <t>ﾅｶｼﾏ ﾄﾓ</t>
  </si>
  <si>
    <t>ﾅﾏﾀﾒ ﾋｶﾘ</t>
  </si>
  <si>
    <t>ﾊｼｸﾞﾁ ｱｽﾞｻ</t>
  </si>
  <si>
    <t>ｷﾄﾞ ｴﾘ</t>
  </si>
  <si>
    <t>ﾀｶｷ ﾙｲ</t>
  </si>
  <si>
    <t>ﾌｼﾞｵｶ ﾅﾂﾐ</t>
  </si>
  <si>
    <t>ﾔﾏｻﾞｷ ｱﾝｼﾞｭ</t>
  </si>
  <si>
    <t>ﾔﾏﾀﾞ ﾁｶ</t>
  </si>
  <si>
    <t>ｶﾜｸﾞﾁ ｻｵﾘ</t>
  </si>
  <si>
    <t>ﾀｵ ｶﾅｴ</t>
  </si>
  <si>
    <t>ｺﾊﾞﾔｼ ｻﾁ</t>
  </si>
  <si>
    <t>ｼﾓｴ ﾅﾂﾐ</t>
  </si>
  <si>
    <t>ｱｷﾀ ﾕｶ</t>
  </si>
  <si>
    <t>ｲﾄｳ ﾘｶｺ</t>
  </si>
  <si>
    <t>ｲﾜﾀ ﾕｲ</t>
  </si>
  <si>
    <t>ｵｶﾀﾞ ﾅﾂﾐ</t>
  </si>
  <si>
    <t>ｵﾀﾞ ﾊﾅ</t>
  </si>
  <si>
    <t>ｶﾈｼｹﾞ ﾋｶﾘ</t>
  </si>
  <si>
    <t>ｾｷ ﾏﾘｱ</t>
  </si>
  <si>
    <t>ﾐﾔｻﾞﾜ ﾖｳｺ</t>
  </si>
  <si>
    <t>ｶﾈｼｹﾞ ﾐﾉﾘ</t>
  </si>
  <si>
    <t>ﾅｶﾉ ﾐﾂﾞｷ</t>
  </si>
  <si>
    <t>ﾅｶｶﾞﾜ ｴﾘ</t>
  </si>
  <si>
    <t>ﾆｼﾀﾞ ﾕｲ</t>
  </si>
  <si>
    <t>ﾔｽｶﾜ ﾐｵ</t>
  </si>
  <si>
    <t>ﾊﾏﾓﾄ ﾐﾎ</t>
  </si>
  <si>
    <t>ﾔｽﾉ ﾕｳﾅ</t>
  </si>
  <si>
    <t>ｱｵｷ ｻｲｶ</t>
  </si>
  <si>
    <t>ﾁｬﾄﾞｳ ｻｷ</t>
  </si>
  <si>
    <t>ﾀｹﾊﾞ ﾁﾊﾙ</t>
  </si>
  <si>
    <t>ﾊﾔｼ ﾏｲﾐ</t>
  </si>
  <si>
    <t>ﾅｶﾉ ﾐﾔｺ</t>
  </si>
  <si>
    <t>ｺﾊﾞﾔｼ ﾏｷ</t>
  </si>
  <si>
    <t>ｵﾉ ﾐﾄﾞﾘ</t>
  </si>
  <si>
    <t>ﾋｻﾏﾂ ｶｽﾐ</t>
  </si>
  <si>
    <t>ﾐﾀﾆ ﾐｷ</t>
  </si>
  <si>
    <t>ﾑﾈﾑﾗ ﾏﾘｺ</t>
  </si>
  <si>
    <t>ﾔﾏﾀﾞ ﾐﾙ</t>
  </si>
  <si>
    <t>ﾖｼﾀﾞ ﾗﾝ</t>
  </si>
  <si>
    <t>ﾜﾀﾅﾍﾞ ｻｴﾘ</t>
  </si>
  <si>
    <t>ｵｵｼﾏ ｻﾜｺ</t>
  </si>
  <si>
    <t>ｻｻｷ ﾏｲ</t>
  </si>
  <si>
    <t>ｼﾐｽﾞ ﾐｷ</t>
  </si>
  <si>
    <t>ﾅｶｻﾞﾄ ｱﾐ</t>
  </si>
  <si>
    <t>ﾅｶﾞﾀ ｻｷ</t>
  </si>
  <si>
    <t>ﾐﾔｻｺ ｻｱﾔ</t>
  </si>
  <si>
    <t>ｲｼﾄﾋﾞ ﾅｵｺ</t>
  </si>
  <si>
    <t>ｱｻｵ ﾁｶ</t>
  </si>
  <si>
    <t>ｲｶﾀﾞﾂ ｻｷ</t>
  </si>
  <si>
    <t>ｲｲｼﾞﾏ ｶﾅ</t>
  </si>
  <si>
    <t>ﾅｶｵ ｱｽｶ</t>
  </si>
  <si>
    <t>ﾋﾛｶﾞ ｱﾔｶ</t>
  </si>
  <si>
    <t>ﾎﾘ ﾊﾙﾅ</t>
  </si>
  <si>
    <t>ﾊﾀ ﾏﾅﾐ</t>
  </si>
  <si>
    <t>ﾋﾞﾝｺﾞ ﾏｲ</t>
  </si>
  <si>
    <t>ﾌｼﾞｻﾜ ﾋﾅｺ</t>
  </si>
  <si>
    <t>ﾏｽｵ ﾊﾙﾅ</t>
  </si>
  <si>
    <t>ﾉﾌﾞﾄｳ ｴﾘｺ</t>
  </si>
  <si>
    <t>ｻﾄｳ ﾋﾒｶ</t>
  </si>
  <si>
    <t>ﾎﾘﾉｳﾁ ﾏｲ</t>
  </si>
  <si>
    <t>ｲﾀｶﾞｷ ｽﾐﾚ</t>
  </si>
  <si>
    <t>ｸﾎﾞ ﾐﾅﾐ</t>
  </si>
  <si>
    <t>ｻｶｲ ｱﾔｶ</t>
  </si>
  <si>
    <t>ｻｶﾀ ｱｷ</t>
  </si>
  <si>
    <t>ﾊﾔｼ ﾏﾕ</t>
  </si>
  <si>
    <t>ｲｲﾀﾞ ﾕｲ</t>
  </si>
  <si>
    <t>ｶﾜﾀｹ ﾐﾉﾘ</t>
  </si>
  <si>
    <t>ｵﾅｶ ﾐｻ</t>
  </si>
  <si>
    <t>ｲｼﾀﾞ ｱﾔﾉ</t>
  </si>
  <si>
    <t>ﾊﾞﾊﾞ ﾕﾘﾅ</t>
  </si>
  <si>
    <t>ﾊﾅﾐﾂ ﾐﾅ</t>
  </si>
  <si>
    <t>ｻﾄｳ ﾏﾎ</t>
  </si>
  <si>
    <t>ｲﾜｶﾜ ｱｽｶ</t>
  </si>
  <si>
    <t>ｶﾈﾀﾞ ｴﾐ</t>
  </si>
  <si>
    <t>ｲｹｶﾞﾐ ﾊﾂﾞｷ</t>
  </si>
  <si>
    <t>ｵｶﾀﾞ ｱｽﾞｻ</t>
  </si>
  <si>
    <t>ｺﾊﾞﾔｼ ﾕｶ</t>
  </si>
  <si>
    <t>ﾀﾀﾗ ﾅﾅ</t>
  </si>
  <si>
    <t>ｱｻｲ ｻﾄｺ</t>
  </si>
  <si>
    <t>ﾆﾉﾐﾔ ｹｲ</t>
  </si>
  <si>
    <t>ﾐﾔﾓﾄ ﾚｲ</t>
  </si>
  <si>
    <t>ﾏﾂﾊﾞﾗ ﾚｲﾅ</t>
  </si>
  <si>
    <t>ﾀﾅｶ ﾊﾙｶ</t>
  </si>
  <si>
    <t>ﾔﾅｷﾞ ﾕｷｴ</t>
  </si>
  <si>
    <t>ｼﾏ ｻﾄﾐ</t>
  </si>
  <si>
    <t>ﾀｸﾜ ﾅｷﾞｻ</t>
  </si>
  <si>
    <t>ﾐﾔﾀｹ ﾏﾔ</t>
  </si>
  <si>
    <t>ｵｶｻﾞｷ ﾅﾂﾞｷ</t>
  </si>
  <si>
    <t>ﾊﾔｼ ｼﾞｭﾝｺ</t>
  </si>
  <si>
    <t>ﾓﾄﾔﾏ ｻﾔｶ</t>
  </si>
  <si>
    <t>ｼﾉｻﾞｷ ﾏﾘﾅ</t>
  </si>
  <si>
    <t>ﾔﾏｸﾞﾁ ﾏﾄﾞｶ</t>
  </si>
  <si>
    <t>ﾌｼﾞﾓﾄ ﾅｵﾐ</t>
  </si>
  <si>
    <t>ﾔﾍﾞ ﾚｲｶ</t>
  </si>
  <si>
    <t>ﾔﾏﾓﾄ ﾅﾐ</t>
  </si>
  <si>
    <t>ｶｼﾜｷﾞ ﾐﾎ</t>
  </si>
  <si>
    <t>ﾑﾗｵ ﾏﾕ</t>
  </si>
  <si>
    <t>ｲｶﾜ ｼｵﾘ</t>
  </si>
  <si>
    <t>ﾀﾆｸﾞﾁ ｱｶﾘ</t>
  </si>
  <si>
    <t>ﾊｼﾓﾄ ｲｸ</t>
  </si>
  <si>
    <t>ｼﾗｲ ﾅﾂｷ</t>
  </si>
  <si>
    <t>ﾌｼﾞﾀ ﾕｳ</t>
  </si>
  <si>
    <t>ｺｳﾉ ﾏﾘｱ</t>
  </si>
  <si>
    <t>ﾌｸｼｹﾞ ﾊﾙﾅ</t>
  </si>
  <si>
    <t>ｶｼﾞ ﾅﾙﾐ</t>
  </si>
  <si>
    <t>ｺｳﾉ ｱｻｶ</t>
  </si>
  <si>
    <t>ﾑﾗｶﾐ ﾅﾙﾐ</t>
    <phoneticPr fontId="2"/>
  </si>
  <si>
    <t>ﾜﾀﾞ ﾏﾘﾉ</t>
  </si>
  <si>
    <t>ｳﾗﾔﾏ ﾏﾘﾅ</t>
  </si>
  <si>
    <t>ﾊﾔｼ ｱﾕﾐ</t>
  </si>
  <si>
    <t>ﾊｼﾓﾄ ﾘｻ</t>
  </si>
  <si>
    <t>ｵｶｻﾞｷ ｱﾕ</t>
  </si>
  <si>
    <t>ｼｹﾞﾏｻ ﾅｶ</t>
  </si>
  <si>
    <t>ｸﾎﾞ ｺｺﾛ</t>
  </si>
  <si>
    <t>ｸﾎﾞ ﾖｼｶ</t>
  </si>
  <si>
    <t>ﾊﾗﾀﾞ ｶﾅ</t>
  </si>
  <si>
    <t>ｱｻﾉ ﾊﾙﾅ</t>
  </si>
  <si>
    <t>ﾔﾏｶﾜ ﾏｷ</t>
  </si>
  <si>
    <t>ｱｻｲ ﾚﾅ</t>
  </si>
  <si>
    <t>ｸﾜｶﾞｷ ｼｵﾘ</t>
  </si>
  <si>
    <t>ﾓﾘｻﾞﾈ ｱｽｶ</t>
  </si>
  <si>
    <t>ｵﾝﾁﾞ ﾖｼｺ</t>
  </si>
  <si>
    <t>ｺｳﾉ ﾕｳｺ</t>
  </si>
  <si>
    <t>ﾜｷ ｱｵｲ</t>
  </si>
  <si>
    <t>ｲﾅﾀﾞ ﾐｻｷ</t>
  </si>
  <si>
    <t>ｺｳｶﾞﾐ ｱﾕﾐ</t>
  </si>
  <si>
    <t>ｿﾈ ﾏﾅ</t>
  </si>
  <si>
    <t>ﾀｹｲ ｱｷﾎ</t>
  </si>
  <si>
    <t>ﾜｶﾌｼﾞ ｱｲﾘ</t>
  </si>
  <si>
    <t>ｳｴｵｶ ﾊﾙﾉ</t>
  </si>
  <si>
    <t>ﾔﾏｶﾞﾀ ｲﾌﾞ</t>
  </si>
  <si>
    <t>ｺｳｻﾞｲ ﾕｷ</t>
  </si>
  <si>
    <t>ﾏｽﾅﾘ ｱﾔﾉ</t>
  </si>
  <si>
    <t>ｱｶｷﾞ ﾕｲ</t>
  </si>
  <si>
    <t>ｻﾄｳ ﾏｲ</t>
  </si>
  <si>
    <t>ﾋﾗﾐ ﾅﾅﾐ</t>
  </si>
  <si>
    <t>ﾔﾏｻｷ ｼﾎ</t>
  </si>
  <si>
    <t>ｵｵﾆｼ ﾅﾂｷ</t>
  </si>
  <si>
    <t>ｺﾀﾆ ｻﾔｶ</t>
  </si>
  <si>
    <t>ｼﾗｲ ﾕｲ</t>
  </si>
  <si>
    <t>ﾜﾀﾅﾍﾞ ﾏﾕｺ</t>
  </si>
  <si>
    <t>ｻｲﾄｳ ﾏﾅﾐ</t>
  </si>
  <si>
    <t>ﾅｶﾓﾄ ｻｷ</t>
  </si>
  <si>
    <t>ﾌｼﾞｲ ﾘﾅ</t>
  </si>
  <si>
    <t>ﾏﾂﾑﾗ ｴﾘ</t>
  </si>
  <si>
    <t>ｵｶｻﾞｷ ｶｽﾐ</t>
  </si>
  <si>
    <t>ｼﾐｽﾞ ﾏｵｺ</t>
  </si>
  <si>
    <t>ｵｸﾊﾗ ｶﾉｺ</t>
  </si>
  <si>
    <t>ｻｻｷ ｱｶﾘ</t>
  </si>
  <si>
    <t>ｽﾀﾞ ﾋﾄﾐ</t>
  </si>
  <si>
    <t>ｶﾈｷﾖ ｴﾘ</t>
  </si>
  <si>
    <t>ｶﾀｷﾞﾘ ﾏｲ</t>
  </si>
  <si>
    <t>ﾏﾂﾓﾄ ﾕｶ</t>
  </si>
  <si>
    <t>ﾏﾂﾀﾞ ﾘﾅｺ</t>
  </si>
  <si>
    <t>ｷﾑﾗ ﾗﾝｺ</t>
  </si>
  <si>
    <t>ｻｸﾗﾀﾞ ﾏﾎ</t>
  </si>
  <si>
    <t>ﾊﾗﾔﾏ ﾕｳ</t>
  </si>
  <si>
    <t>ﾉｻｷ ﾅﾐ</t>
  </si>
  <si>
    <t>ﾋﾗﾀ ﾕｳﾐ</t>
  </si>
  <si>
    <t>ﾖｼﾐﾂ ﾐﾊﾙ</t>
  </si>
  <si>
    <t>ｼﾏﾀ ｼｮｳｺ</t>
  </si>
  <si>
    <t>ﾎｼ ﾋｶﾙ</t>
  </si>
  <si>
    <t>ﾋﾛﾔｽ ｻｷ</t>
  </si>
  <si>
    <t>ﾔﾏﾊｼ ｴﾐｺ</t>
  </si>
  <si>
    <t>ｲﾉｳｴ ｻｷ</t>
  </si>
  <si>
    <t>ｺﾀﾞﾏ ﾕｷ</t>
  </si>
  <si>
    <t>ﾉｶﾞﾐ ﾏﾘｺ</t>
  </si>
  <si>
    <t>ﾀﾅｶ ﾕﾘ</t>
  </si>
  <si>
    <t>ﾃﾗﾔﾏ ｶﾝﾅ</t>
  </si>
  <si>
    <t>ﾜﾀﾞ ｱﾔﾉ</t>
  </si>
  <si>
    <t>ｺﾊﾞﾔｼ ﾐｻ</t>
  </si>
  <si>
    <t>ｷｼﾓﾄ ﾅﾅﾐ</t>
  </si>
  <si>
    <t>ｸﾘﾊﾞﾔｼ ｻﾔｶ</t>
  </si>
  <si>
    <t>ｱｻｶﾜ ｴﾘﾅ</t>
  </si>
  <si>
    <t>ｱｻﾐ ﾏﾕｺ</t>
  </si>
  <si>
    <t>ﾏﾂｴ ｶﾅ</t>
  </si>
  <si>
    <t>ﾖｼﾓﾄ ﾏﾘｴ</t>
  </si>
  <si>
    <t>ﾊｷﾞﾜﾗ ﾕｶ</t>
  </si>
  <si>
    <t>ｼﾓﾔﾏ ﾕｳｺ</t>
  </si>
  <si>
    <t>ﾄﾞｲ ｱﾕﾐ</t>
  </si>
  <si>
    <t>ｶﾐｶﾜ ｻﾕﾘ</t>
  </si>
  <si>
    <t>ｶﾜﾀﾞ ﾁｴ</t>
  </si>
  <si>
    <t>ｶﾜﾉ ﾕｳｶ</t>
  </si>
  <si>
    <t>ｼｵﾐ ﾚｲｶ</t>
  </si>
  <si>
    <t>ﾀｹﾅｶ ﾋｶﾙ</t>
  </si>
  <si>
    <t>ﾖｺﾔﾏ ｱｽｶ</t>
  </si>
  <si>
    <t>ﾏﾂﾀﾞ ﾕｳﾐ</t>
  </si>
  <si>
    <t>ﾓﾘｵｶ ﾏﾘ</t>
  </si>
  <si>
    <t>ﾂﾙﾄﾞﾒ ﾄﾓﾐ</t>
  </si>
  <si>
    <t>ｵｶ ﾕｲｺ</t>
  </si>
  <si>
    <t>ｸﾜﾌﾞﾁ ﾏﾎ</t>
  </si>
  <si>
    <t>ﾀﾅﾍﾞ ﾕｶ</t>
  </si>
  <si>
    <t>ｱｵｷ ﾏｽﾐ</t>
  </si>
  <si>
    <t>ﾉｸﾞﾁ ｱﾕﾐ</t>
  </si>
  <si>
    <t>ﾄｷﾖｼ ﾁｻﾄ</t>
  </si>
  <si>
    <t>ｶﾜｺﾞｴ ｱﾔ</t>
  </si>
  <si>
    <t>ｼﾝﾎﾟｳ ﾅﾙﾐ</t>
  </si>
  <si>
    <t>ｺﾝﾄﾞｳ ｶﾅ</t>
  </si>
  <si>
    <t>ｵｵﾆｼ ｻｷ</t>
  </si>
  <si>
    <t>ﾏﾂﾑﾗ ﾊﾙｶ</t>
  </si>
  <si>
    <t>ｶｶﾞﾜ ﾘﾏ</t>
  </si>
  <si>
    <t>ｲﾅｸﾞｻ ﾅﾂｷ</t>
  </si>
  <si>
    <t>ｲﾉｳｴ ﾅｵｺ</t>
  </si>
  <si>
    <t>ｶｼﾏ ﾓﾄｶ</t>
  </si>
  <si>
    <t>ｶﾒｵｶ ﾐﾂﾙ</t>
  </si>
  <si>
    <t>ｶﾜﾀﾞ ﾘｴ</t>
  </si>
  <si>
    <t>ｶﾝﾀﾞ ﾊﾙﾅ</t>
  </si>
  <si>
    <t>ﾅｶﾉ ﾘﾎ</t>
  </si>
  <si>
    <t>ﾆｼｶﾜ ﾊﾙﾅ</t>
  </si>
  <si>
    <t>ﾊｯﾄﾘ ﾏﾕ</t>
  </si>
  <si>
    <t>ﾊﾅﾑﾗ ﾕｳ</t>
  </si>
  <si>
    <t>ﾌｼﾞｲ ﾉｿﾞﾐ</t>
  </si>
  <si>
    <t>ﾓﾘｼﾀ ﾋﾅｺ</t>
  </si>
  <si>
    <t>ﾔﾏｳﾁ ｶﾅｴ</t>
  </si>
  <si>
    <t>ﾔﾏﾓﾄ ﾊﾙｶ</t>
  </si>
  <si>
    <t>ﾐﾔｼﾀ ｱｶﾘ</t>
  </si>
  <si>
    <t>ｵｵﾔ ｶﾅ</t>
  </si>
  <si>
    <t>ﾊﾔｼ ｶﾘﾝ</t>
  </si>
  <si>
    <t>ｳｴｽｷﾞ ﾏﾄﾞｶ</t>
  </si>
  <si>
    <t>ﾀｶﾐｻﾞﾜ ｱﾝｼﾞｭ</t>
  </si>
  <si>
    <t>ﾊﾔｼ ﾐｷｺ</t>
  </si>
  <si>
    <t>ﾎﾘｴ ｻｷ</t>
  </si>
  <si>
    <t>ﾅｶﾊﾗ ﾐｽｽﾞ</t>
  </si>
  <si>
    <t>ﾐｼﾏ ﾐｻｷ</t>
  </si>
  <si>
    <t>ｳｴﾊﾗ ｱﾕﾐ</t>
  </si>
  <si>
    <t>ﾏﾂﾀﾞ ｱﾝﾅ</t>
  </si>
  <si>
    <t>ﾊｷﾞﾓﾘ ﾐｻｷ</t>
  </si>
  <si>
    <t>ﾀｳﾁ ﾕｲ</t>
  </si>
  <si>
    <t>ﾏﾂﾓﾄ ﾕｳﾅ</t>
  </si>
  <si>
    <t>ｲｹﾀﾞ ﾄﾓｶ</t>
  </si>
  <si>
    <t>ｲｸﾉ ﾕﾘｱ</t>
  </si>
  <si>
    <t>ﾅｶｻﾞﾜ ｻｷ</t>
  </si>
  <si>
    <t>ｵｵﾊﾞ ﾅﾂﾐ</t>
  </si>
  <si>
    <t>ｵﾘﾄ ﾓｴ</t>
  </si>
  <si>
    <t>ｺﾏﾂ ﾒｲ</t>
  </si>
  <si>
    <t>ｶﾝﾊﾞﾗ ﾕｳﾅ</t>
  </si>
  <si>
    <t>ﾄﾄﾞﾛｷ ｱﾔ</t>
  </si>
  <si>
    <t>ﾐｿﾞﾍﾞ ﾌﾂﾞｷ</t>
  </si>
  <si>
    <t>ﾔﾏﾓﾄ ｼﾞｭﾘ</t>
  </si>
  <si>
    <t>ﾑﾗﾏｴ ﾋﾅｺ</t>
  </si>
  <si>
    <t>ﾀﾞｲﾗｸ ｱｽﾐ</t>
  </si>
  <si>
    <t>ﾀﾆｶﾜ ﾊﾙﾐ</t>
  </si>
  <si>
    <t>ｲｽﾞﾐ ｷｮｳｺ</t>
  </si>
  <si>
    <t>ｱｻ ｴﾐﾘ</t>
  </si>
  <si>
    <t>ｵｵｶﾀ ﾁｶ</t>
  </si>
  <si>
    <t>ｶﾀﾔﾏ ﾀｶｺ</t>
  </si>
  <si>
    <t>ﾅｶﾉ ｲｸ</t>
  </si>
  <si>
    <t>ﾌｼﾞﾓﾄ ﾕﾂﾞｷ</t>
  </si>
  <si>
    <t>ﾐﾔｹ ﾐﾁｶ</t>
  </si>
  <si>
    <t>ﾅｶｶﾞﾐ ﾁﾋﾛ</t>
  </si>
  <si>
    <t>ﾏﾂﾊﾞﾗ ﾕﾘ</t>
  </si>
  <si>
    <t>ｺﾊﾞﾔｼ ﾋｶﾙ</t>
  </si>
  <si>
    <t>ﾏﾂｵｶ ﾐﾉﾘ</t>
  </si>
  <si>
    <t>ﾌｸｼﾏ ｻｵﾘ</t>
  </si>
  <si>
    <t>ﾌｼﾞｲ ﾕｷ</t>
  </si>
  <si>
    <t>ｳｼﾛﾀﾞ ｱﾔﾒ</t>
  </si>
  <si>
    <t>ｻﾇｷ ﾐﾉ</t>
  </si>
  <si>
    <t>ﾌﾞﾂﾊﾗ ｺｳﾘ</t>
  </si>
  <si>
    <t>ｵﾔﾏﾀﾞ ﾐﾅﾐ</t>
  </si>
  <si>
    <t>ﾊﾗ ﾐﾂﾞﾎ</t>
  </si>
  <si>
    <t>ﾊﾞﾊﾞ ｱｽﾞｻ</t>
  </si>
  <si>
    <t>ｲｼﾊﾗ ｶﾎ</t>
  </si>
  <si>
    <t>ｺﾊﾞﾔｼ ﾐｻﾄ</t>
  </si>
  <si>
    <t>ｳｴｸﾗ ﾉｿﾞﾐ</t>
  </si>
  <si>
    <t>ｵｶｼﾞﾏ ﾕｳｶ</t>
  </si>
  <si>
    <t>ｵｷﾀ ﾊﾙﾅ</t>
  </si>
  <si>
    <t>ﾀｹﾓﾄ ﾐｵ</t>
  </si>
  <si>
    <t>ﾖｺﾔﾏ ｱｲﾅ</t>
  </si>
  <si>
    <t>ｲｼｶﾜ ﾋﾅ</t>
  </si>
  <si>
    <t>ﾔﾏﾓﾄ ﾚｲ</t>
  </si>
  <si>
    <t>ｵｵﾂｶ ﾉﾄﾞｶ</t>
  </si>
  <si>
    <t>ｵｸｽﾞﾐ ｱﾔｶ</t>
  </si>
  <si>
    <t>ｻｶﾓﾄ ﾌﾐｶ</t>
  </si>
  <si>
    <t>ﾌﾙｹﾞﾝ ｴﾘｶ</t>
  </si>
  <si>
    <t>ｳﾁﾑﾗ ﾕｳｷ</t>
  </si>
  <si>
    <t>ﾀﾆﾑﾗ ｶﾅｺ</t>
  </si>
  <si>
    <t>ﾎﾀﾞﾃ ﾚｲﾅ</t>
  </si>
  <si>
    <t>ｲﾏﾑﾗ ｱｺ</t>
  </si>
  <si>
    <t>ｶﾄｳ ﾕｷ</t>
  </si>
  <si>
    <t>ｱｶｷﾞ ﾐﾎ</t>
  </si>
  <si>
    <t>ｵｶﾓﾄ ﾐﾉﾘ</t>
  </si>
  <si>
    <t>ｷｯｶﾜ ｱﾕﾐ</t>
  </si>
  <si>
    <t>ｶﾀｷﾞ ﾅﾅ</t>
  </si>
  <si>
    <t>ｷﾉﾄ ｻﾔ</t>
  </si>
  <si>
    <t>ｲﾉｳｴ ｺﾄﾖ</t>
  </si>
  <si>
    <t>ｺﾝﾄﾞｳ ﾚﾅ</t>
  </si>
  <si>
    <t>ﾏﾂｵｶ ｴﾘ</t>
  </si>
  <si>
    <t>ﾌﾅﾀﾞ ﾘｴ</t>
  </si>
  <si>
    <t>ﾋﾗﾉ ﾘｶ</t>
  </si>
  <si>
    <t>ﾖｼﾑﾗ ｱﾕﾐ</t>
  </si>
  <si>
    <t>ﾔｷﾞ ﾊﾙｶ</t>
  </si>
  <si>
    <t>ﾌﾙﾔ ｶﾅﾃﾞ</t>
  </si>
  <si>
    <t>ﾀﾆ ﾐﾉﾘ</t>
  </si>
  <si>
    <t>ﾌｼﾞﾜﾗ ｱｶﾈ</t>
  </si>
  <si>
    <t>ｵｶﾞﾀ ﾐｻｷ</t>
  </si>
  <si>
    <t>ｲﾜｲﾁ ｻｸﾗｺ</t>
  </si>
  <si>
    <t>ｶﾅﾔﾏ ﾊﾙｶ</t>
  </si>
  <si>
    <t>ｼｭﾄｳ ﾏﾕ</t>
  </si>
  <si>
    <t>ｱｵｷ ﾕｲｺ</t>
  </si>
  <si>
    <t>ﾏﾂｳﾗ ﾐﾉﾘ</t>
  </si>
  <si>
    <t>ﾜﾀﾅﾍﾞ ﾘﾝ</t>
  </si>
  <si>
    <t>ﾆｼﾔﾏ ﾅｵﾐ</t>
  </si>
  <si>
    <t>ｽﾐｸﾗ ｶﾎ</t>
  </si>
  <si>
    <t>ｵｵｲ ﾕｶｺ</t>
  </si>
  <si>
    <t>ﾄｸﾊﾗ ﾏﾅﾐ</t>
  </si>
  <si>
    <t>ｵｻｷ ﾎﾉｶ</t>
  </si>
  <si>
    <t>ﾆｼﾜｷ ﾐｻｷ</t>
  </si>
  <si>
    <t>ﾖｺｾﾞｷ ｱﾔｶ</t>
  </si>
  <si>
    <t>ｱｻﾋ ｶﾅ</t>
  </si>
  <si>
    <t>ﾐﾉ ﾋｶﾘ</t>
  </si>
  <si>
    <t>ｺﾊﾞﾔｼ ﾊﾙｶ</t>
  </si>
  <si>
    <t>ﾏﾂﾋﾛ ﾅｷﾞｻ</t>
  </si>
  <si>
    <t>ｲﾜﾓﾄ ﾕｳﾘ</t>
  </si>
  <si>
    <t>ｲﾄｳ ﾏﾕﾐ</t>
  </si>
  <si>
    <t>ﾄﾘｺﾞｴ ﾕﾘ</t>
  </si>
  <si>
    <t>ﾍﾀ ｼｽﾞﾊ</t>
  </si>
  <si>
    <t>ｸﾗﾓﾄ ｱﾔｺ</t>
  </si>
  <si>
    <t>ｼﾐｽﾞ ﾁｶｺ</t>
  </si>
  <si>
    <t>ﾀﾀﾞ ｶﾅﾃﾞ</t>
  </si>
  <si>
    <t>ｲﾉﾊﾗ ﾊﾙﾅ</t>
  </si>
  <si>
    <t>ﾉｸﾞﾁ ﾏﾅﾐ</t>
  </si>
  <si>
    <t>ｺｳ ﾕｳﾘ</t>
  </si>
  <si>
    <t>ﾊﾔｼ ﾕｶ</t>
  </si>
  <si>
    <t>ｼﾉｻﾞｷ ﾊﾙｶ</t>
  </si>
  <si>
    <t>ﾔﾏﾓﾄ ﾘｻ</t>
  </si>
  <si>
    <t>ﾊﾀﾅｶ ﾕｶﾘ</t>
  </si>
  <si>
    <t>ｺﾏﾂ ｼﾎ</t>
  </si>
  <si>
    <t>ﾑﾗﾀ ﾏﾐ</t>
  </si>
  <si>
    <t>ｲﾏﾀｹ ﾋｶﾙ</t>
  </si>
  <si>
    <t>ﾀｹｳﾁ ﾐﾕ</t>
  </si>
  <si>
    <t>910714</t>
  </si>
  <si>
    <t>920404</t>
  </si>
  <si>
    <t>930906</t>
  </si>
  <si>
    <t>930504</t>
  </si>
  <si>
    <t>941013</t>
  </si>
  <si>
    <t>950209</t>
  </si>
  <si>
    <t>960104</t>
  </si>
  <si>
    <t>960307</t>
  </si>
  <si>
    <t>950930</t>
  </si>
  <si>
    <t>940208</t>
  </si>
  <si>
    <t>930917</t>
  </si>
  <si>
    <t>930416</t>
  </si>
  <si>
    <t>950416</t>
  </si>
  <si>
    <t>931203</t>
  </si>
  <si>
    <t>931206</t>
  </si>
  <si>
    <t>940519</t>
  </si>
  <si>
    <t>970111</t>
  </si>
  <si>
    <t>961017</t>
  </si>
  <si>
    <t>930819</t>
  </si>
  <si>
    <t>930919</t>
  </si>
  <si>
    <t>911219</t>
  </si>
  <si>
    <t>940305</t>
  </si>
  <si>
    <t>940815</t>
  </si>
  <si>
    <t>830305</t>
  </si>
  <si>
    <t>920117</t>
  </si>
  <si>
    <t>940130</t>
  </si>
  <si>
    <t>941101</t>
  </si>
  <si>
    <t>901226</t>
  </si>
  <si>
    <t>931007</t>
  </si>
  <si>
    <t>931208</t>
  </si>
  <si>
    <t>951207</t>
  </si>
  <si>
    <t>940326</t>
  </si>
  <si>
    <t>910819</t>
  </si>
  <si>
    <t>930124</t>
  </si>
  <si>
    <t>921211</t>
  </si>
  <si>
    <t>950519</t>
  </si>
  <si>
    <t>951225</t>
  </si>
  <si>
    <t>951005</t>
  </si>
  <si>
    <t>920615</t>
  </si>
  <si>
    <t>940103</t>
  </si>
  <si>
    <t>940623</t>
  </si>
  <si>
    <t>940210</t>
  </si>
  <si>
    <t>911106</t>
  </si>
  <si>
    <t>931107</t>
  </si>
  <si>
    <t>940523</t>
  </si>
  <si>
    <t>930411</t>
  </si>
  <si>
    <t>931231</t>
  </si>
  <si>
    <t>960311</t>
  </si>
  <si>
    <t>941123</t>
  </si>
  <si>
    <t>960427</t>
  </si>
  <si>
    <t>970223</t>
  </si>
  <si>
    <t>961206</t>
  </si>
  <si>
    <t>900625</t>
  </si>
  <si>
    <t>930713</t>
  </si>
  <si>
    <t>960720</t>
  </si>
  <si>
    <t>970322</t>
  </si>
  <si>
    <t>960729</t>
  </si>
  <si>
    <t>970220</t>
  </si>
  <si>
    <t>961203</t>
  </si>
  <si>
    <t>961030</t>
  </si>
  <si>
    <t>960628</t>
  </si>
  <si>
    <t>961120</t>
  </si>
  <si>
    <t>3</t>
    <phoneticPr fontId="2"/>
  </si>
  <si>
    <t>3</t>
    <phoneticPr fontId="2"/>
  </si>
  <si>
    <t>S1</t>
    <phoneticPr fontId="2"/>
  </si>
  <si>
    <t>武田　万由</t>
  </si>
  <si>
    <t>石原　美奈子</t>
  </si>
  <si>
    <t>齊藤　優香</t>
  </si>
  <si>
    <t>松原　由希</t>
  </si>
  <si>
    <t>ﾀｹﾀﾞ ﾏﾕ</t>
  </si>
  <si>
    <t>ｲｼﾊﾗ ﾐﾅｺ</t>
  </si>
  <si>
    <t>ｻｲﾄｳ ﾕｳｶ</t>
  </si>
  <si>
    <t>ﾏﾂﾊﾞﾗ ﾕｷ</t>
  </si>
  <si>
    <t>960415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</si>
</sst>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0.0"/>
    <numFmt numFmtId="178" formatCode="[$-F800]dddd\,\ mmmm\ dd\,\ yyyy"/>
    <numFmt numFmtId="179" formatCode="m/d"/>
    <numFmt numFmtId="180" formatCode="#,##0_ "/>
    <numFmt numFmtId="181" formatCode="yyyy&quot;年&quot;m&quot;月&quot;d&quot;日&quot;;@"/>
    <numFmt numFmtId="182" formatCode="\1\900&quot;年&quot;00&quot;月&quot;00&quot;日&quot;"/>
  </numFmts>
  <fonts count="5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Times New Roman"/>
      <family val="1"/>
    </font>
    <font>
      <sz val="11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8"/>
      <name val="Times New Roman"/>
      <family val="1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8"/>
      <name val="Times New Roman"/>
      <family val="1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36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4"/>
      <color indexed="47"/>
      <name val="ＭＳ ゴシック"/>
      <family val="3"/>
      <charset val="128"/>
    </font>
    <font>
      <sz val="22"/>
      <color indexed="47"/>
      <name val="ＭＳ 明朝"/>
      <family val="1"/>
      <charset val="128"/>
    </font>
    <font>
      <sz val="10"/>
      <color indexed="9"/>
      <name val="Times New Roman"/>
      <family val="1"/>
    </font>
    <font>
      <sz val="9"/>
      <color indexed="8"/>
      <name val="ＭＳ Ｐ明朝"/>
      <family val="1"/>
      <charset val="128"/>
    </font>
    <font>
      <sz val="13"/>
      <color indexed="8"/>
      <name val="ＭＳ Ｐ明朝"/>
      <family val="1"/>
      <charset val="128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0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21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38" fontId="54" fillId="0" borderId="0" applyFont="0" applyFill="0" applyBorder="0" applyAlignment="0" applyProtection="0">
      <alignment vertical="center"/>
    </xf>
    <xf numFmtId="0" fontId="5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14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24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22" fillId="26" borderId="10" xfId="0" applyFont="1" applyFill="1" applyBorder="1">
      <alignment vertical="center"/>
    </xf>
    <xf numFmtId="0" fontId="22" fillId="26" borderId="10" xfId="0" applyFont="1" applyFill="1" applyBorder="1" applyAlignment="1">
      <alignment horizontal="center" vertical="center"/>
    </xf>
    <xf numFmtId="0" fontId="23" fillId="0" borderId="0" xfId="44" applyFont="1">
      <alignment vertical="center"/>
    </xf>
    <xf numFmtId="0" fontId="24" fillId="0" borderId="0" xfId="44" applyFont="1">
      <alignment vertical="center"/>
    </xf>
    <xf numFmtId="0" fontId="25" fillId="0" borderId="0" xfId="44" applyFont="1">
      <alignment vertical="center"/>
    </xf>
    <xf numFmtId="0" fontId="23" fillId="0" borderId="0" xfId="44" applyFont="1" applyAlignment="1">
      <alignment horizontal="right" vertical="center"/>
    </xf>
    <xf numFmtId="0" fontId="24" fillId="0" borderId="0" xfId="44" applyFont="1" applyAlignment="1">
      <alignment vertical="center" wrapText="1"/>
    </xf>
    <xf numFmtId="0" fontId="27" fillId="27" borderId="0" xfId="46" applyFont="1" applyFill="1" applyAlignment="1">
      <alignment horizontal="center" vertical="center"/>
    </xf>
    <xf numFmtId="0" fontId="27" fillId="27" borderId="0" xfId="46" applyFont="1" applyFill="1"/>
    <xf numFmtId="0" fontId="27" fillId="0" borderId="0" xfId="46" applyFont="1"/>
    <xf numFmtId="0" fontId="27" fillId="0" borderId="11" xfId="46" applyFont="1" applyBorder="1" applyAlignment="1">
      <alignment horizontal="left" vertical="center"/>
    </xf>
    <xf numFmtId="0" fontId="27" fillId="0" borderId="12" xfId="46" applyFont="1" applyBorder="1" applyAlignment="1">
      <alignment horizontal="center"/>
    </xf>
    <xf numFmtId="0" fontId="27" fillId="0" borderId="13" xfId="46" applyFont="1" applyBorder="1" applyAlignment="1">
      <alignment horizontal="center"/>
    </xf>
    <xf numFmtId="0" fontId="27" fillId="0" borderId="11" xfId="46" applyFont="1" applyBorder="1" applyAlignment="1">
      <alignment vertical="center"/>
    </xf>
    <xf numFmtId="0" fontId="27" fillId="0" borderId="14" xfId="46" applyFont="1" applyBorder="1" applyAlignment="1">
      <alignment horizontal="left" vertical="center"/>
    </xf>
    <xf numFmtId="0" fontId="27" fillId="0" borderId="15" xfId="46" applyFont="1" applyBorder="1" applyAlignment="1">
      <alignment horizontal="center"/>
    </xf>
    <xf numFmtId="0" fontId="27" fillId="0" borderId="16" xfId="46" applyFont="1" applyBorder="1" applyAlignment="1">
      <alignment horizontal="center"/>
    </xf>
    <xf numFmtId="0" fontId="27" fillId="0" borderId="14" xfId="46" applyFont="1" applyBorder="1" applyAlignment="1">
      <alignment vertical="center"/>
    </xf>
    <xf numFmtId="0" fontId="29" fillId="0" borderId="16" xfId="46" applyFont="1" applyBorder="1" applyAlignment="1">
      <alignment horizontal="center"/>
    </xf>
    <xf numFmtId="0" fontId="27" fillId="0" borderId="17" xfId="46" applyFont="1" applyBorder="1" applyAlignment="1">
      <alignment horizontal="center" vertical="center"/>
    </xf>
    <xf numFmtId="0" fontId="27" fillId="0" borderId="18" xfId="46" applyFont="1" applyBorder="1" applyAlignment="1">
      <alignment horizontal="center" vertical="center"/>
    </xf>
    <xf numFmtId="0" fontId="27" fillId="0" borderId="19" xfId="46" applyFont="1" applyBorder="1" applyAlignment="1">
      <alignment horizontal="center" vertical="center"/>
    </xf>
    <xf numFmtId="0" fontId="27" fillId="0" borderId="20" xfId="46" applyFont="1" applyBorder="1" applyAlignment="1">
      <alignment horizontal="center" vertical="center"/>
    </xf>
    <xf numFmtId="0" fontId="27" fillId="0" borderId="0" xfId="46" applyFont="1" applyAlignment="1">
      <alignment horizontal="center" vertical="center"/>
    </xf>
    <xf numFmtId="0" fontId="32" fillId="0" borderId="0" xfId="0" applyFont="1">
      <alignment vertical="center"/>
    </xf>
    <xf numFmtId="14" fontId="22" fillId="26" borderId="10" xfId="0" applyNumberFormat="1" applyFont="1" applyFill="1" applyBorder="1" applyAlignment="1">
      <alignment horizontal="center" vertical="center"/>
    </xf>
    <xf numFmtId="0" fontId="27" fillId="0" borderId="21" xfId="46" applyFont="1" applyBorder="1" applyAlignment="1">
      <alignment vertical="center"/>
    </xf>
    <xf numFmtId="0" fontId="27" fillId="0" borderId="10" xfId="46" applyFont="1" applyBorder="1" applyAlignment="1">
      <alignment vertical="center"/>
    </xf>
    <xf numFmtId="0" fontId="27" fillId="0" borderId="22" xfId="46" applyFont="1" applyBorder="1" applyAlignment="1">
      <alignment vertical="center"/>
    </xf>
    <xf numFmtId="179" fontId="27" fillId="0" borderId="23" xfId="46" applyNumberFormat="1" applyFont="1" applyBorder="1" applyAlignment="1">
      <alignment horizontal="center" vertical="center"/>
    </xf>
    <xf numFmtId="179" fontId="27" fillId="0" borderId="24" xfId="46" applyNumberFormat="1" applyFont="1" applyBorder="1" applyAlignment="1">
      <alignment horizontal="center" vertical="center"/>
    </xf>
    <xf numFmtId="179" fontId="27" fillId="0" borderId="25" xfId="46" applyNumberFormat="1" applyFont="1" applyBorder="1" applyAlignment="1">
      <alignment horizontal="center" vertical="center"/>
    </xf>
    <xf numFmtId="179" fontId="27" fillId="0" borderId="26" xfId="46" applyNumberFormat="1" applyFont="1" applyBorder="1" applyAlignment="1">
      <alignment horizontal="center" vertical="center"/>
    </xf>
    <xf numFmtId="179" fontId="27" fillId="0" borderId="27" xfId="46" applyNumberFormat="1" applyFont="1" applyBorder="1" applyAlignment="1">
      <alignment horizontal="center" vertical="center"/>
    </xf>
    <xf numFmtId="0" fontId="27" fillId="0" borderId="28" xfId="46" applyFont="1" applyBorder="1" applyAlignment="1">
      <alignment vertical="center"/>
    </xf>
    <xf numFmtId="179" fontId="27" fillId="0" borderId="29" xfId="46" applyNumberFormat="1" applyFont="1" applyBorder="1" applyAlignment="1">
      <alignment horizontal="center" vertical="center"/>
    </xf>
    <xf numFmtId="179" fontId="27" fillId="0" borderId="30" xfId="46" applyNumberFormat="1" applyFont="1" applyBorder="1" applyAlignment="1">
      <alignment horizontal="center" vertical="center"/>
    </xf>
    <xf numFmtId="0" fontId="0" fillId="0" borderId="10" xfId="0" applyBorder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176" fontId="0" fillId="0" borderId="10" xfId="0" applyNumberFormat="1" applyBorder="1" applyProtection="1">
      <alignment vertical="center"/>
      <protection locked="0"/>
    </xf>
    <xf numFmtId="177" fontId="0" fillId="24" borderId="10" xfId="0" applyNumberFormat="1" applyFill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36" fillId="0" borderId="0" xfId="0" applyFont="1">
      <alignment vertical="center"/>
    </xf>
    <xf numFmtId="0" fontId="34" fillId="0" borderId="31" xfId="0" applyFont="1" applyBorder="1">
      <alignment vertical="center"/>
    </xf>
    <xf numFmtId="0" fontId="34" fillId="0" borderId="32" xfId="0" applyFont="1" applyBorder="1">
      <alignment vertical="center"/>
    </xf>
    <xf numFmtId="0" fontId="41" fillId="0" borderId="0" xfId="0" applyFont="1">
      <alignment vertical="center"/>
    </xf>
    <xf numFmtId="0" fontId="0" fillId="28" borderId="10" xfId="0" applyFill="1" applyBorder="1">
      <alignment vertical="center"/>
    </xf>
    <xf numFmtId="0" fontId="0" fillId="28" borderId="10" xfId="0" applyFill="1" applyBorder="1" applyAlignment="1">
      <alignment horizontal="center" vertical="center"/>
    </xf>
    <xf numFmtId="176" fontId="0" fillId="28" borderId="10" xfId="0" applyNumberFormat="1" applyFill="1" applyBorder="1">
      <alignment vertical="center"/>
    </xf>
    <xf numFmtId="177" fontId="0" fillId="28" borderId="10" xfId="0" applyNumberFormat="1" applyFill="1" applyBorder="1" applyAlignment="1">
      <alignment horizontal="center" vertical="center"/>
    </xf>
    <xf numFmtId="14" fontId="0" fillId="28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33" xfId="0" applyFill="1" applyBorder="1" applyAlignment="1">
      <alignment horizontal="center" vertical="center"/>
    </xf>
    <xf numFmtId="0" fontId="0" fillId="25" borderId="34" xfId="0" applyFill="1" applyBorder="1" applyAlignment="1">
      <alignment horizontal="center" vertical="center"/>
    </xf>
    <xf numFmtId="0" fontId="22" fillId="0" borderId="0" xfId="0" applyFont="1">
      <alignment vertical="center"/>
    </xf>
    <xf numFmtId="0" fontId="3" fillId="26" borderId="10" xfId="0" applyFont="1" applyFill="1" applyBorder="1">
      <alignment vertical="center"/>
    </xf>
    <xf numFmtId="0" fontId="3" fillId="26" borderId="10" xfId="0" applyFont="1" applyFill="1" applyBorder="1" applyAlignment="1">
      <alignment horizontal="center" vertical="center"/>
    </xf>
    <xf numFmtId="14" fontId="3" fillId="26" borderId="10" xfId="0" applyNumberFormat="1" applyFont="1" applyFill="1" applyBorder="1" applyAlignment="1">
      <alignment horizontal="center" vertical="center"/>
    </xf>
    <xf numFmtId="0" fontId="44" fillId="26" borderId="10" xfId="0" applyFont="1" applyFill="1" applyBorder="1">
      <alignment vertical="center"/>
    </xf>
    <xf numFmtId="0" fontId="44" fillId="26" borderId="10" xfId="0" applyFont="1" applyFill="1" applyBorder="1" applyAlignment="1">
      <alignment horizontal="center" vertical="center"/>
    </xf>
    <xf numFmtId="14" fontId="44" fillId="26" borderId="10" xfId="0" applyNumberFormat="1" applyFont="1" applyFill="1" applyBorder="1" applyAlignment="1">
      <alignment horizontal="center" vertical="center"/>
    </xf>
    <xf numFmtId="0" fontId="44" fillId="26" borderId="22" xfId="0" applyFont="1" applyFill="1" applyBorder="1">
      <alignment vertical="center"/>
    </xf>
    <xf numFmtId="0" fontId="44" fillId="26" borderId="22" xfId="0" applyFont="1" applyFill="1" applyBorder="1" applyAlignment="1">
      <alignment horizontal="center" vertical="center"/>
    </xf>
    <xf numFmtId="14" fontId="44" fillId="26" borderId="22" xfId="0" applyNumberFormat="1" applyFont="1" applyFill="1" applyBorder="1" applyAlignment="1">
      <alignment horizontal="center" vertical="center"/>
    </xf>
    <xf numFmtId="0" fontId="3" fillId="26" borderId="35" xfId="0" applyFont="1" applyFill="1" applyBorder="1">
      <alignment vertical="center"/>
    </xf>
    <xf numFmtId="0" fontId="3" fillId="26" borderId="35" xfId="0" applyFont="1" applyFill="1" applyBorder="1" applyAlignment="1">
      <alignment horizontal="center" vertical="center"/>
    </xf>
    <xf numFmtId="14" fontId="3" fillId="26" borderId="35" xfId="0" applyNumberFormat="1" applyFont="1" applyFill="1" applyBorder="1" applyAlignment="1">
      <alignment horizontal="center" vertical="center"/>
    </xf>
    <xf numFmtId="0" fontId="44" fillId="26" borderId="36" xfId="0" applyFont="1" applyFill="1" applyBorder="1">
      <alignment vertical="center"/>
    </xf>
    <xf numFmtId="0" fontId="44" fillId="26" borderId="36" xfId="0" applyFont="1" applyFill="1" applyBorder="1" applyAlignment="1">
      <alignment horizontal="center" vertical="center"/>
    </xf>
    <xf numFmtId="14" fontId="44" fillId="26" borderId="36" xfId="0" applyNumberFormat="1" applyFont="1" applyFill="1" applyBorder="1" applyAlignment="1">
      <alignment horizontal="center" vertical="center"/>
    </xf>
    <xf numFmtId="0" fontId="44" fillId="26" borderId="37" xfId="0" applyFont="1" applyFill="1" applyBorder="1">
      <alignment vertical="center"/>
    </xf>
    <xf numFmtId="0" fontId="44" fillId="26" borderId="37" xfId="0" applyFont="1" applyFill="1" applyBorder="1" applyAlignment="1">
      <alignment horizontal="center" vertical="center"/>
    </xf>
    <xf numFmtId="14" fontId="44" fillId="26" borderId="37" xfId="0" applyNumberFormat="1" applyFont="1" applyFill="1" applyBorder="1" applyAlignment="1">
      <alignment horizontal="center" vertical="center"/>
    </xf>
    <xf numFmtId="0" fontId="3" fillId="26" borderId="36" xfId="0" applyFont="1" applyFill="1" applyBorder="1">
      <alignment vertical="center"/>
    </xf>
    <xf numFmtId="0" fontId="3" fillId="26" borderId="36" xfId="0" applyFont="1" applyFill="1" applyBorder="1" applyAlignment="1">
      <alignment horizontal="center" vertical="center"/>
    </xf>
    <xf numFmtId="14" fontId="3" fillId="26" borderId="36" xfId="0" applyNumberFormat="1" applyFont="1" applyFill="1" applyBorder="1" applyAlignment="1">
      <alignment horizontal="center" vertical="center"/>
    </xf>
    <xf numFmtId="0" fontId="3" fillId="26" borderId="37" xfId="0" applyFont="1" applyFill="1" applyBorder="1">
      <alignment vertical="center"/>
    </xf>
    <xf numFmtId="0" fontId="3" fillId="26" borderId="37" xfId="0" applyFont="1" applyFill="1" applyBorder="1" applyAlignment="1">
      <alignment horizontal="center" vertical="center"/>
    </xf>
    <xf numFmtId="14" fontId="3" fillId="26" borderId="37" xfId="0" applyNumberFormat="1" applyFont="1" applyFill="1" applyBorder="1" applyAlignment="1">
      <alignment horizontal="center" vertical="center"/>
    </xf>
    <xf numFmtId="0" fontId="27" fillId="0" borderId="35" xfId="46" applyFont="1" applyBorder="1" applyAlignment="1">
      <alignment vertical="center"/>
    </xf>
    <xf numFmtId="0" fontId="0" fillId="25" borderId="10" xfId="0" applyFill="1" applyBorder="1" applyAlignment="1">
      <alignment horizontal="center" vertical="center" wrapText="1"/>
    </xf>
    <xf numFmtId="49" fontId="45" fillId="0" borderId="31" xfId="0" applyNumberFormat="1" applyFont="1" applyBorder="1" applyProtection="1">
      <alignment vertical="center"/>
      <protection locked="0"/>
    </xf>
    <xf numFmtId="49" fontId="45" fillId="0" borderId="0" xfId="0" applyNumberFormat="1" applyFont="1">
      <alignment vertical="center"/>
    </xf>
    <xf numFmtId="0" fontId="43" fillId="0" borderId="10" xfId="0" applyFont="1" applyBorder="1" applyProtection="1">
      <alignment vertical="center"/>
      <protection locked="0"/>
    </xf>
    <xf numFmtId="0" fontId="43" fillId="0" borderId="22" xfId="0" applyFont="1" applyBorder="1" applyProtection="1">
      <alignment vertical="center"/>
      <protection locked="0"/>
    </xf>
    <xf numFmtId="0" fontId="43" fillId="0" borderId="36" xfId="0" applyFont="1" applyBorder="1" applyProtection="1">
      <alignment vertical="center"/>
      <protection locked="0"/>
    </xf>
    <xf numFmtId="0" fontId="43" fillId="0" borderId="37" xfId="0" applyFont="1" applyBorder="1" applyProtection="1">
      <alignment vertical="center"/>
      <protection locked="0"/>
    </xf>
    <xf numFmtId="0" fontId="42" fillId="0" borderId="36" xfId="0" applyFont="1" applyBorder="1" applyProtection="1">
      <alignment vertical="center"/>
      <protection locked="0"/>
    </xf>
    <xf numFmtId="0" fontId="42" fillId="0" borderId="10" xfId="0" applyFont="1" applyBorder="1" applyProtection="1">
      <alignment vertical="center"/>
      <protection locked="0"/>
    </xf>
    <xf numFmtId="0" fontId="42" fillId="0" borderId="37" xfId="0" applyFont="1" applyBorder="1" applyProtection="1">
      <alignment vertical="center"/>
      <protection locked="0"/>
    </xf>
    <xf numFmtId="0" fontId="42" fillId="0" borderId="35" xfId="0" applyFont="1" applyBorder="1" applyProtection="1">
      <alignment vertical="center"/>
      <protection locked="0"/>
    </xf>
    <xf numFmtId="0" fontId="3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" fillId="0" borderId="0" xfId="0" applyFont="1" applyBorder="1" applyProtection="1">
      <alignment vertical="center"/>
    </xf>
    <xf numFmtId="0" fontId="1" fillId="0" borderId="0" xfId="0" applyFont="1" applyProtection="1">
      <alignment vertical="center"/>
    </xf>
    <xf numFmtId="0" fontId="33" fillId="0" borderId="38" xfId="0" applyFont="1" applyBorder="1" applyAlignment="1" applyProtection="1">
      <alignment horizontal="distributed"/>
    </xf>
    <xf numFmtId="0" fontId="1" fillId="0" borderId="0" xfId="0" applyFont="1" applyBorder="1" applyAlignment="1" applyProtection="1">
      <alignment horizontal="left" vertical="center"/>
    </xf>
    <xf numFmtId="0" fontId="33" fillId="0" borderId="0" xfId="0" applyFont="1" applyBorder="1" applyAlignment="1" applyProtection="1">
      <alignment horizontal="distributed"/>
    </xf>
    <xf numFmtId="0" fontId="33" fillId="0" borderId="39" xfId="0" applyFont="1" applyBorder="1" applyAlignment="1" applyProtection="1">
      <alignment horizontal="distributed"/>
    </xf>
    <xf numFmtId="0" fontId="1" fillId="0" borderId="40" xfId="0" applyFont="1" applyBorder="1" applyAlignment="1" applyProtection="1">
      <alignment horizontal="left" vertical="center"/>
    </xf>
    <xf numFmtId="0" fontId="0" fillId="0" borderId="41" xfId="0" applyBorder="1" applyProtection="1">
      <alignment vertical="center"/>
    </xf>
    <xf numFmtId="0" fontId="33" fillId="0" borderId="42" xfId="0" applyFont="1" applyBorder="1" applyAlignment="1" applyProtection="1">
      <alignment horizontal="distributed"/>
    </xf>
    <xf numFmtId="0" fontId="0" fillId="0" borderId="43" xfId="0" applyBorder="1" applyProtection="1">
      <alignment vertical="center"/>
    </xf>
    <xf numFmtId="0" fontId="1" fillId="0" borderId="44" xfId="0" applyFont="1" applyBorder="1" applyAlignment="1" applyProtection="1">
      <alignment horizontal="distributed"/>
    </xf>
    <xf numFmtId="0" fontId="1" fillId="0" borderId="45" xfId="0" applyFont="1" applyBorder="1" applyAlignment="1" applyProtection="1"/>
    <xf numFmtId="0" fontId="0" fillId="0" borderId="46" xfId="0" applyBorder="1" applyProtection="1">
      <alignment vertical="center"/>
    </xf>
    <xf numFmtId="0" fontId="1" fillId="0" borderId="0" xfId="0" applyFont="1" applyBorder="1" applyAlignment="1" applyProtection="1">
      <alignment horizontal="distributed"/>
    </xf>
    <xf numFmtId="0" fontId="1" fillId="0" borderId="0" xfId="0" applyFont="1" applyBorder="1" applyAlignment="1" applyProtection="1"/>
    <xf numFmtId="0" fontId="40" fillId="0" borderId="0" xfId="0" applyFont="1" applyProtection="1">
      <alignment vertical="center"/>
    </xf>
    <xf numFmtId="0" fontId="35" fillId="0" borderId="28" xfId="0" applyFont="1" applyBorder="1" applyAlignment="1" applyProtection="1">
      <alignment horizontal="center" vertical="center"/>
    </xf>
    <xf numFmtId="0" fontId="35" fillId="0" borderId="30" xfId="0" applyFont="1" applyBorder="1" applyAlignment="1" applyProtection="1">
      <alignment horizontal="center" vertical="center"/>
    </xf>
    <xf numFmtId="0" fontId="33" fillId="0" borderId="47" xfId="0" applyFont="1" applyBorder="1" applyAlignment="1" applyProtection="1">
      <alignment horizontal="center" vertical="center" shrinkToFit="1"/>
    </xf>
    <xf numFmtId="0" fontId="33" fillId="0" borderId="48" xfId="0" applyFont="1" applyBorder="1" applyAlignment="1" applyProtection="1">
      <alignment horizontal="center" vertical="center" shrinkToFit="1"/>
    </xf>
    <xf numFmtId="14" fontId="33" fillId="0" borderId="48" xfId="0" applyNumberFormat="1" applyFont="1" applyBorder="1" applyAlignment="1" applyProtection="1">
      <alignment horizontal="center" vertical="center" shrinkToFit="1"/>
    </xf>
    <xf numFmtId="0" fontId="33" fillId="0" borderId="48" xfId="0" applyNumberFormat="1" applyFont="1" applyBorder="1" applyAlignment="1" applyProtection="1">
      <alignment horizontal="center" vertical="center" shrinkToFit="1"/>
    </xf>
    <xf numFmtId="0" fontId="33" fillId="0" borderId="21" xfId="0" applyFont="1" applyBorder="1" applyAlignment="1" applyProtection="1">
      <alignment vertical="center" shrinkToFit="1"/>
    </xf>
    <xf numFmtId="0" fontId="33" fillId="0" borderId="21" xfId="0" applyFont="1" applyBorder="1" applyAlignment="1" applyProtection="1">
      <alignment horizontal="center" vertical="center" shrinkToFit="1"/>
    </xf>
    <xf numFmtId="14" fontId="33" fillId="0" borderId="49" xfId="0" applyNumberFormat="1" applyFont="1" applyBorder="1" applyAlignment="1" applyProtection="1">
      <alignment horizontal="center" vertical="center" shrinkToFit="1"/>
    </xf>
    <xf numFmtId="0" fontId="33" fillId="0" borderId="0" xfId="0" applyFont="1" applyProtection="1">
      <alignment vertical="center"/>
    </xf>
    <xf numFmtId="0" fontId="33" fillId="0" borderId="50" xfId="0" applyFont="1" applyBorder="1" applyAlignment="1" applyProtection="1">
      <alignment horizontal="center" vertical="center" shrinkToFit="1"/>
    </xf>
    <xf numFmtId="0" fontId="33" fillId="0" borderId="34" xfId="0" applyFont="1" applyBorder="1" applyAlignment="1" applyProtection="1">
      <alignment horizontal="center" vertical="center" shrinkToFit="1"/>
    </xf>
    <xf numFmtId="14" fontId="33" fillId="0" borderId="34" xfId="0" applyNumberFormat="1" applyFont="1" applyBorder="1" applyAlignment="1" applyProtection="1">
      <alignment horizontal="center" vertical="center" shrinkToFit="1"/>
    </xf>
    <xf numFmtId="0" fontId="33" fillId="0" borderId="10" xfId="0" applyFont="1" applyBorder="1" applyAlignment="1" applyProtection="1">
      <alignment vertical="center" shrinkToFit="1"/>
    </xf>
    <xf numFmtId="0" fontId="33" fillId="0" borderId="10" xfId="0" applyFont="1" applyBorder="1" applyAlignment="1" applyProtection="1">
      <alignment horizontal="center" vertical="center" shrinkToFit="1"/>
    </xf>
    <xf numFmtId="14" fontId="33" fillId="0" borderId="51" xfId="0" applyNumberFormat="1" applyFont="1" applyBorder="1" applyAlignment="1" applyProtection="1">
      <alignment horizontal="center" vertical="center" shrinkToFit="1"/>
    </xf>
    <xf numFmtId="0" fontId="33" fillId="0" borderId="52" xfId="0" applyFont="1" applyBorder="1" applyAlignment="1" applyProtection="1">
      <alignment horizontal="center" vertical="center" shrinkToFit="1"/>
    </xf>
    <xf numFmtId="0" fontId="33" fillId="0" borderId="53" xfId="0" applyFont="1" applyBorder="1" applyAlignment="1" applyProtection="1">
      <alignment horizontal="center" vertical="center" shrinkToFit="1"/>
    </xf>
    <xf numFmtId="14" fontId="33" fillId="0" borderId="53" xfId="0" applyNumberFormat="1" applyFont="1" applyBorder="1" applyAlignment="1" applyProtection="1">
      <alignment horizontal="center" vertical="center" shrinkToFit="1"/>
    </xf>
    <xf numFmtId="0" fontId="33" fillId="0" borderId="28" xfId="0" applyFont="1" applyBorder="1" applyAlignment="1" applyProtection="1">
      <alignment vertical="center" shrinkToFit="1"/>
    </xf>
    <xf numFmtId="0" fontId="33" fillId="0" borderId="28" xfId="0" applyFont="1" applyBorder="1" applyAlignment="1" applyProtection="1">
      <alignment horizontal="center" vertical="center" shrinkToFit="1"/>
    </xf>
    <xf numFmtId="14" fontId="33" fillId="0" borderId="54" xfId="0" applyNumberFormat="1" applyFont="1" applyBorder="1" applyAlignment="1" applyProtection="1">
      <alignment horizontal="center" vertical="center" shrinkToFit="1"/>
    </xf>
    <xf numFmtId="14" fontId="33" fillId="0" borderId="53" xfId="0" applyNumberFormat="1" applyFont="1" applyBorder="1" applyAlignment="1" applyProtection="1">
      <alignment vertical="center" shrinkToFit="1"/>
    </xf>
    <xf numFmtId="0" fontId="33" fillId="0" borderId="53" xfId="0" applyFont="1" applyBorder="1" applyAlignment="1" applyProtection="1">
      <alignment vertical="center" shrinkToFit="1"/>
    </xf>
    <xf numFmtId="0" fontId="33" fillId="0" borderId="54" xfId="0" applyFont="1" applyBorder="1" applyAlignment="1" applyProtection="1">
      <alignment vertical="center" shrinkToFit="1"/>
    </xf>
    <xf numFmtId="0" fontId="40" fillId="0" borderId="55" xfId="0" applyFont="1" applyBorder="1" applyAlignment="1" applyProtection="1">
      <alignment vertical="center"/>
    </xf>
    <xf numFmtId="0" fontId="23" fillId="0" borderId="0" xfId="45" applyFont="1">
      <alignment vertical="center"/>
    </xf>
    <xf numFmtId="0" fontId="24" fillId="0" borderId="0" xfId="45" applyFont="1" applyBorder="1" applyAlignment="1">
      <alignment vertical="center"/>
    </xf>
    <xf numFmtId="0" fontId="23" fillId="0" borderId="0" xfId="45" applyFont="1" applyBorder="1" applyAlignment="1">
      <alignment vertical="center"/>
    </xf>
    <xf numFmtId="0" fontId="0" fillId="0" borderId="0" xfId="0" applyProtection="1">
      <alignment vertical="center"/>
      <protection locked="0"/>
    </xf>
    <xf numFmtId="49" fontId="53" fillId="0" borderId="0" xfId="48" applyNumberFormat="1" applyFont="1" applyAlignment="1" applyProtection="1">
      <alignment horizontal="left"/>
      <protection locked="0"/>
    </xf>
    <xf numFmtId="49" fontId="53" fillId="0" borderId="0" xfId="0" applyNumberFormat="1" applyFont="1" applyFill="1" applyAlignment="1" applyProtection="1">
      <alignment horizontal="left"/>
      <protection locked="0"/>
    </xf>
    <xf numFmtId="49" fontId="53" fillId="0" borderId="0" xfId="0" applyNumberFormat="1" applyFont="1" applyFill="1" applyAlignment="1" applyProtection="1">
      <protection locked="0"/>
    </xf>
    <xf numFmtId="182" fontId="53" fillId="0" borderId="0" xfId="0" applyNumberFormat="1" applyFont="1" applyFill="1" applyAlignment="1" applyProtection="1">
      <alignment horizontal="left"/>
    </xf>
    <xf numFmtId="182" fontId="53" fillId="0" borderId="0" xfId="0" applyNumberFormat="1" applyFont="1" applyFill="1" applyAlignment="1" applyProtection="1">
      <protection locked="0"/>
    </xf>
    <xf numFmtId="49" fontId="45" fillId="0" borderId="31" xfId="0" applyNumberFormat="1" applyFont="1" applyBorder="1" applyAlignment="1" applyProtection="1">
      <alignment horizontal="left" vertical="center"/>
      <protection locked="0"/>
    </xf>
    <xf numFmtId="49" fontId="45" fillId="0" borderId="31" xfId="0" applyNumberFormat="1" applyFont="1" applyBorder="1" applyAlignment="1" applyProtection="1">
      <alignment horizontal="center" vertical="center"/>
      <protection locked="0"/>
    </xf>
    <xf numFmtId="0" fontId="0" fillId="25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35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14" fontId="42" fillId="0" borderId="57" xfId="0" applyNumberFormat="1" applyFont="1" applyBorder="1" applyAlignment="1" applyProtection="1">
      <alignment horizontal="center" vertical="center"/>
      <protection locked="0"/>
    </xf>
    <xf numFmtId="14" fontId="42" fillId="0" borderId="34" xfId="0" applyNumberFormat="1" applyFont="1" applyBorder="1" applyAlignment="1" applyProtection="1">
      <alignment horizontal="center" vertical="center"/>
      <protection locked="0"/>
    </xf>
    <xf numFmtId="14" fontId="42" fillId="0" borderId="35" xfId="0" applyNumberFormat="1" applyFont="1" applyBorder="1" applyAlignment="1" applyProtection="1">
      <alignment horizontal="center" vertical="center"/>
      <protection locked="0"/>
    </xf>
    <xf numFmtId="0" fontId="42" fillId="0" borderId="36" xfId="0" applyFont="1" applyBorder="1" applyAlignment="1" applyProtection="1">
      <alignment horizontal="center" vertical="center"/>
      <protection locked="0"/>
    </xf>
    <xf numFmtId="0" fontId="42" fillId="0" borderId="37" xfId="0" applyFont="1" applyBorder="1" applyAlignment="1" applyProtection="1">
      <alignment horizontal="center" vertical="center"/>
      <protection locked="0"/>
    </xf>
    <xf numFmtId="14" fontId="43" fillId="0" borderId="22" xfId="0" applyNumberFormat="1" applyFont="1" applyBorder="1" applyAlignment="1" applyProtection="1">
      <alignment horizontal="center" vertical="center"/>
      <protection locked="0"/>
    </xf>
    <xf numFmtId="14" fontId="43" fillId="0" borderId="34" xfId="0" applyNumberFormat="1" applyFont="1" applyBorder="1" applyAlignment="1" applyProtection="1">
      <alignment horizontal="center" vertical="center"/>
      <protection locked="0"/>
    </xf>
    <xf numFmtId="14" fontId="43" fillId="0" borderId="56" xfId="0" applyNumberFormat="1" applyFont="1" applyBorder="1" applyAlignment="1" applyProtection="1">
      <alignment horizontal="center" vertical="center"/>
      <protection locked="0"/>
    </xf>
    <xf numFmtId="0" fontId="44" fillId="26" borderId="10" xfId="0" applyFont="1" applyFill="1" applyBorder="1" applyAlignment="1">
      <alignment horizontal="center" vertical="center"/>
    </xf>
    <xf numFmtId="0" fontId="44" fillId="26" borderId="22" xfId="0" applyFont="1" applyFill="1" applyBorder="1" applyAlignment="1">
      <alignment horizontal="center" vertical="center"/>
    </xf>
    <xf numFmtId="0" fontId="3" fillId="26" borderId="35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22" xfId="0" applyFont="1" applyBorder="1" applyAlignment="1" applyProtection="1">
      <alignment horizontal="center" vertical="center"/>
      <protection locked="0"/>
    </xf>
    <xf numFmtId="0" fontId="44" fillId="26" borderId="36" xfId="0" applyFont="1" applyFill="1" applyBorder="1" applyAlignment="1">
      <alignment horizontal="center" vertical="center"/>
    </xf>
    <xf numFmtId="0" fontId="44" fillId="26" borderId="37" xfId="0" applyFont="1" applyFill="1" applyBorder="1" applyAlignment="1">
      <alignment horizontal="center" vertical="center"/>
    </xf>
    <xf numFmtId="0" fontId="3" fillId="26" borderId="36" xfId="0" applyFont="1" applyFill="1" applyBorder="1" applyAlignment="1">
      <alignment horizontal="center" vertical="center"/>
    </xf>
    <xf numFmtId="0" fontId="3" fillId="26" borderId="37" xfId="0" applyFont="1" applyFill="1" applyBorder="1" applyAlignment="1">
      <alignment horizontal="center" vertical="center"/>
    </xf>
    <xf numFmtId="14" fontId="42" fillId="0" borderId="22" xfId="0" applyNumberFormat="1" applyFont="1" applyBorder="1" applyAlignment="1" applyProtection="1">
      <alignment horizontal="center" vertical="center"/>
      <protection locked="0"/>
    </xf>
    <xf numFmtId="14" fontId="42" fillId="0" borderId="56" xfId="0" applyNumberFormat="1" applyFont="1" applyBorder="1" applyAlignment="1" applyProtection="1">
      <alignment horizontal="center" vertical="center"/>
      <protection locked="0"/>
    </xf>
    <xf numFmtId="0" fontId="43" fillId="0" borderId="36" xfId="0" applyFont="1" applyBorder="1" applyAlignment="1" applyProtection="1">
      <alignment horizontal="center" vertical="center"/>
      <protection locked="0"/>
    </xf>
    <xf numFmtId="0" fontId="43" fillId="0" borderId="37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40" fillId="0" borderId="55" xfId="0" applyFont="1" applyBorder="1" applyAlignment="1" applyProtection="1">
      <alignment horizontal="right" vertical="center"/>
    </xf>
    <xf numFmtId="0" fontId="37" fillId="0" borderId="31" xfId="0" applyFont="1" applyBorder="1" applyAlignment="1" applyProtection="1">
      <alignment horizontal="center" vertical="center"/>
    </xf>
    <xf numFmtId="0" fontId="37" fillId="0" borderId="31" xfId="0" applyFont="1" applyBorder="1" applyAlignment="1" applyProtection="1">
      <alignment horizontal="left" vertic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39" fillId="0" borderId="10" xfId="0" applyFont="1" applyBorder="1" applyAlignment="1" applyProtection="1">
      <alignment horizontal="center" vertical="center"/>
    </xf>
    <xf numFmtId="0" fontId="37" fillId="0" borderId="31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39" fillId="0" borderId="59" xfId="0" applyFont="1" applyBorder="1" applyAlignment="1" applyProtection="1">
      <alignment horizontal="center" vertical="center"/>
    </xf>
    <xf numFmtId="0" fontId="39" fillId="0" borderId="19" xfId="0" applyFont="1" applyBorder="1" applyAlignment="1" applyProtection="1">
      <alignment horizontal="center" vertical="center"/>
    </xf>
    <xf numFmtId="0" fontId="39" fillId="0" borderId="18" xfId="0" applyFont="1" applyBorder="1" applyAlignment="1" applyProtection="1">
      <alignment horizontal="center" vertical="center"/>
    </xf>
    <xf numFmtId="0" fontId="0" fillId="0" borderId="60" xfId="0" applyFont="1" applyBorder="1" applyAlignment="1" applyProtection="1">
      <alignment horizontal="center" vertical="center"/>
    </xf>
    <xf numFmtId="0" fontId="0" fillId="0" borderId="6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19" xfId="0" applyFont="1" applyBorder="1" applyAlignment="1" applyProtection="1">
      <alignment horizontal="center" vertical="center"/>
    </xf>
    <xf numFmtId="0" fontId="39" fillId="0" borderId="24" xfId="0" applyFont="1" applyBorder="1" applyAlignment="1" applyProtection="1">
      <alignment horizontal="center" vertical="center"/>
    </xf>
    <xf numFmtId="0" fontId="38" fillId="0" borderId="42" xfId="0" applyFont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/>
    </xf>
    <xf numFmtId="0" fontId="38" fillId="0" borderId="43" xfId="0" applyFont="1" applyBorder="1" applyAlignment="1" applyProtection="1">
      <alignment horizontal="center" vertic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67" xfId="0" applyFont="1" applyBorder="1" applyAlignment="1" applyProtection="1">
      <alignment horizontal="center" vertical="center"/>
    </xf>
    <xf numFmtId="0" fontId="0" fillId="0" borderId="68" xfId="0" applyFont="1" applyBorder="1" applyAlignment="1" applyProtection="1">
      <alignment horizontal="center" vertical="center"/>
    </xf>
    <xf numFmtId="0" fontId="39" fillId="0" borderId="62" xfId="0" applyFont="1" applyBorder="1" applyAlignment="1" applyProtection="1">
      <alignment horizontal="center" vertical="center"/>
    </xf>
    <xf numFmtId="0" fontId="39" fillId="0" borderId="35" xfId="0" applyFont="1" applyBorder="1" applyAlignment="1" applyProtection="1">
      <alignment horizontal="center" vertical="center"/>
    </xf>
    <xf numFmtId="0" fontId="39" fillId="0" borderId="63" xfId="0" applyFont="1" applyBorder="1" applyAlignment="1" applyProtection="1">
      <alignment horizontal="center" vertical="center"/>
    </xf>
    <xf numFmtId="0" fontId="39" fillId="0" borderId="64" xfId="0" applyFont="1" applyBorder="1" applyAlignment="1" applyProtection="1">
      <alignment horizontal="center" vertical="center"/>
    </xf>
    <xf numFmtId="0" fontId="39" fillId="0" borderId="65" xfId="0" applyFont="1" applyBorder="1" applyAlignment="1" applyProtection="1">
      <alignment horizontal="center" vertical="center"/>
    </xf>
    <xf numFmtId="180" fontId="39" fillId="0" borderId="58" xfId="0" applyNumberFormat="1" applyFont="1" applyBorder="1" applyAlignment="1" applyProtection="1">
      <alignment horizontal="center" vertical="center"/>
    </xf>
    <xf numFmtId="180" fontId="39" fillId="0" borderId="10" xfId="0" applyNumberFormat="1" applyFont="1" applyBorder="1" applyAlignment="1" applyProtection="1">
      <alignment horizontal="center" vertical="center"/>
    </xf>
    <xf numFmtId="180" fontId="39" fillId="0" borderId="27" xfId="0" applyNumberFormat="1" applyFont="1" applyBorder="1" applyAlignment="1" applyProtection="1">
      <alignment horizontal="center" vertical="center"/>
    </xf>
    <xf numFmtId="0" fontId="39" fillId="0" borderId="66" xfId="0" applyFont="1" applyBorder="1" applyAlignment="1" applyProtection="1">
      <alignment horizontal="center" vertical="center"/>
    </xf>
    <xf numFmtId="0" fontId="39" fillId="0" borderId="22" xfId="0" applyFont="1" applyBorder="1" applyAlignment="1" applyProtection="1">
      <alignment horizontal="center" vertical="center"/>
    </xf>
    <xf numFmtId="0" fontId="39" fillId="0" borderId="25" xfId="0" applyFont="1" applyBorder="1" applyAlignment="1" applyProtection="1">
      <alignment horizontal="center" vertical="center"/>
    </xf>
    <xf numFmtId="0" fontId="39" fillId="0" borderId="67" xfId="0" applyFont="1" applyBorder="1" applyAlignment="1" applyProtection="1">
      <alignment horizontal="center" vertical="center"/>
    </xf>
    <xf numFmtId="0" fontId="39" fillId="0" borderId="68" xfId="0" applyFont="1" applyBorder="1" applyAlignment="1" applyProtection="1">
      <alignment horizontal="center" vertical="center"/>
    </xf>
    <xf numFmtId="0" fontId="39" fillId="0" borderId="69" xfId="0" applyFont="1" applyBorder="1" applyAlignment="1" applyProtection="1">
      <alignment horizontal="center" vertical="center"/>
    </xf>
    <xf numFmtId="0" fontId="0" fillId="0" borderId="70" xfId="0" applyFont="1" applyBorder="1" applyAlignment="1" applyProtection="1">
      <alignment horizontal="center" vertical="center"/>
    </xf>
    <xf numFmtId="0" fontId="0" fillId="0" borderId="71" xfId="0" applyFont="1" applyBorder="1" applyAlignment="1" applyProtection="1">
      <alignment horizontal="center" vertical="center"/>
    </xf>
    <xf numFmtId="0" fontId="0" fillId="0" borderId="72" xfId="0" applyFont="1" applyBorder="1" applyAlignment="1" applyProtection="1">
      <alignment horizontal="center" vertical="center"/>
    </xf>
    <xf numFmtId="0" fontId="39" fillId="0" borderId="73" xfId="0" applyFont="1" applyBorder="1" applyAlignment="1" applyProtection="1">
      <alignment horizontal="center" vertical="center"/>
    </xf>
    <xf numFmtId="0" fontId="35" fillId="0" borderId="48" xfId="0" applyFont="1" applyFill="1" applyBorder="1" applyAlignment="1" applyProtection="1">
      <alignment horizontal="center" vertical="center" wrapText="1"/>
    </xf>
    <xf numFmtId="0" fontId="35" fillId="0" borderId="53" xfId="0" applyFont="1" applyFill="1" applyBorder="1" applyAlignment="1" applyProtection="1">
      <alignment horizontal="center" vertical="center"/>
    </xf>
    <xf numFmtId="0" fontId="35" fillId="0" borderId="74" xfId="0" applyFont="1" applyFill="1" applyBorder="1" applyAlignment="1" applyProtection="1">
      <alignment horizontal="center" vertical="center"/>
    </xf>
    <xf numFmtId="0" fontId="35" fillId="0" borderId="75" xfId="0" applyFont="1" applyFill="1" applyBorder="1" applyAlignment="1" applyProtection="1">
      <alignment horizontal="center" vertical="center"/>
    </xf>
    <xf numFmtId="0" fontId="35" fillId="0" borderId="21" xfId="0" applyFont="1" applyFill="1" applyBorder="1" applyAlignment="1" applyProtection="1">
      <alignment horizontal="center" vertical="center"/>
    </xf>
    <xf numFmtId="0" fontId="35" fillId="0" borderId="28" xfId="0" applyFont="1" applyFill="1" applyBorder="1" applyAlignment="1" applyProtection="1">
      <alignment horizontal="center" vertical="center"/>
    </xf>
    <xf numFmtId="0" fontId="35" fillId="0" borderId="21" xfId="0" applyFont="1" applyFill="1" applyBorder="1" applyAlignment="1" applyProtection="1">
      <alignment horizontal="center" vertical="center" wrapText="1"/>
    </xf>
    <xf numFmtId="0" fontId="35" fillId="0" borderId="21" xfId="0" applyFont="1" applyBorder="1" applyAlignment="1" applyProtection="1">
      <alignment horizontal="center" vertical="center"/>
    </xf>
    <xf numFmtId="0" fontId="35" fillId="0" borderId="26" xfId="0" applyFont="1" applyBorder="1" applyAlignment="1" applyProtection="1">
      <alignment horizontal="center" vertical="center"/>
    </xf>
    <xf numFmtId="0" fontId="35" fillId="0" borderId="76" xfId="0" applyFont="1" applyBorder="1" applyAlignment="1" applyProtection="1">
      <alignment horizontal="center" vertical="center"/>
    </xf>
    <xf numFmtId="0" fontId="35" fillId="0" borderId="77" xfId="0" applyFont="1" applyBorder="1" applyAlignment="1" applyProtection="1">
      <alignment horizontal="center" vertical="center"/>
    </xf>
    <xf numFmtId="0" fontId="35" fillId="0" borderId="78" xfId="0" applyFont="1" applyBorder="1" applyAlignment="1" applyProtection="1">
      <alignment horizontal="center" vertical="center"/>
    </xf>
    <xf numFmtId="0" fontId="35" fillId="0" borderId="79" xfId="0" applyFont="1" applyBorder="1" applyAlignment="1" applyProtection="1">
      <alignment horizontal="center" vertical="center"/>
    </xf>
    <xf numFmtId="0" fontId="40" fillId="0" borderId="80" xfId="0" applyFont="1" applyBorder="1" applyAlignment="1" applyProtection="1">
      <alignment horizontal="right" vertical="center"/>
    </xf>
    <xf numFmtId="0" fontId="23" fillId="0" borderId="81" xfId="44" applyFont="1" applyBorder="1" applyAlignment="1">
      <alignment horizontal="center" vertical="center"/>
    </xf>
    <xf numFmtId="0" fontId="23" fillId="0" borderId="82" xfId="44" applyFont="1" applyBorder="1" applyAlignment="1">
      <alignment horizontal="center" vertical="center"/>
    </xf>
    <xf numFmtId="0" fontId="23" fillId="0" borderId="83" xfId="44" applyFont="1" applyBorder="1" applyAlignment="1">
      <alignment horizontal="center" vertical="center"/>
    </xf>
    <xf numFmtId="0" fontId="23" fillId="0" borderId="55" xfId="44" applyFont="1" applyBorder="1" applyAlignment="1">
      <alignment horizontal="center" vertical="center"/>
    </xf>
    <xf numFmtId="0" fontId="26" fillId="0" borderId="76" xfId="44" applyFont="1" applyBorder="1" applyAlignment="1">
      <alignment horizontal="center" vertical="center" shrinkToFit="1"/>
    </xf>
    <xf numFmtId="0" fontId="26" fillId="0" borderId="82" xfId="44" applyFont="1" applyBorder="1" applyAlignment="1">
      <alignment horizontal="center" vertical="center" shrinkToFit="1"/>
    </xf>
    <xf numFmtId="0" fontId="26" fillId="0" borderId="84" xfId="44" applyFont="1" applyBorder="1" applyAlignment="1">
      <alignment horizontal="center" vertical="center" shrinkToFit="1"/>
    </xf>
    <xf numFmtId="0" fontId="26" fillId="0" borderId="78" xfId="44" applyFont="1" applyBorder="1" applyAlignment="1">
      <alignment horizontal="center" vertical="center" shrinkToFit="1"/>
    </xf>
    <xf numFmtId="0" fontId="26" fillId="0" borderId="55" xfId="44" applyFont="1" applyBorder="1" applyAlignment="1">
      <alignment horizontal="center" vertical="center" shrinkToFit="1"/>
    </xf>
    <xf numFmtId="0" fontId="26" fillId="0" borderId="85" xfId="44" applyFont="1" applyBorder="1" applyAlignment="1">
      <alignment horizontal="center" vertical="center" shrinkToFit="1"/>
    </xf>
    <xf numFmtId="0" fontId="23" fillId="0" borderId="86" xfId="44" applyFont="1" applyBorder="1" applyAlignment="1">
      <alignment horizontal="center" vertical="center" wrapText="1"/>
    </xf>
    <xf numFmtId="0" fontId="23" fillId="0" borderId="0" xfId="44" applyFont="1" applyBorder="1" applyAlignment="1">
      <alignment horizontal="center" vertical="center"/>
    </xf>
    <xf numFmtId="0" fontId="23" fillId="0" borderId="86" xfId="44" applyFont="1" applyBorder="1" applyAlignment="1">
      <alignment horizontal="center" vertical="center"/>
    </xf>
    <xf numFmtId="0" fontId="23" fillId="0" borderId="82" xfId="44" applyFont="1" applyBorder="1" applyAlignment="1"/>
    <xf numFmtId="0" fontId="23" fillId="0" borderId="55" xfId="44" applyFont="1" applyBorder="1" applyAlignment="1"/>
    <xf numFmtId="0" fontId="26" fillId="0" borderId="87" xfId="44" applyFont="1" applyBorder="1" applyAlignment="1">
      <alignment horizontal="center" vertical="center" shrinkToFit="1"/>
    </xf>
    <xf numFmtId="0" fontId="26" fillId="0" borderId="88" xfId="44" applyFont="1" applyBorder="1" applyAlignment="1">
      <alignment horizontal="center" vertical="center" shrinkToFit="1"/>
    </xf>
    <xf numFmtId="0" fontId="26" fillId="0" borderId="86" xfId="44" applyFont="1" applyBorder="1" applyAlignment="1">
      <alignment horizontal="center" vertical="center" shrinkToFit="1"/>
    </xf>
    <xf numFmtId="0" fontId="26" fillId="0" borderId="89" xfId="44" applyFont="1" applyBorder="1" applyAlignment="1">
      <alignment horizontal="center" vertical="center" shrinkToFit="1"/>
    </xf>
    <xf numFmtId="0" fontId="26" fillId="0" borderId="83" xfId="44" applyFont="1" applyBorder="1" applyAlignment="1">
      <alignment horizontal="center" vertical="center" shrinkToFit="1"/>
    </xf>
    <xf numFmtId="0" fontId="26" fillId="0" borderId="90" xfId="44" applyFont="1" applyBorder="1" applyAlignment="1">
      <alignment horizontal="center" vertical="center" shrinkToFit="1"/>
    </xf>
    <xf numFmtId="0" fontId="26" fillId="0" borderId="91" xfId="44" applyFont="1" applyBorder="1" applyAlignment="1">
      <alignment horizontal="center" vertical="center" shrinkToFit="1"/>
    </xf>
    <xf numFmtId="0" fontId="26" fillId="0" borderId="92" xfId="44" applyFont="1" applyBorder="1" applyAlignment="1">
      <alignment horizontal="center" vertical="center" shrinkToFit="1"/>
    </xf>
    <xf numFmtId="0" fontId="26" fillId="0" borderId="40" xfId="44" applyFont="1" applyBorder="1" applyAlignment="1">
      <alignment horizontal="center" vertical="center" shrinkToFit="1"/>
    </xf>
    <xf numFmtId="0" fontId="26" fillId="0" borderId="93" xfId="44" applyFont="1" applyBorder="1" applyAlignment="1">
      <alignment horizontal="center" vertical="center" shrinkToFit="1"/>
    </xf>
    <xf numFmtId="0" fontId="26" fillId="0" borderId="94" xfId="44" applyFont="1" applyBorder="1" applyAlignment="1">
      <alignment horizontal="center" vertical="center" shrinkToFit="1"/>
    </xf>
    <xf numFmtId="178" fontId="26" fillId="0" borderId="76" xfId="44" applyNumberFormat="1" applyFont="1" applyBorder="1" applyAlignment="1">
      <alignment horizontal="center" vertical="center" shrinkToFit="1"/>
    </xf>
    <xf numFmtId="178" fontId="26" fillId="0" borderId="82" xfId="44" applyNumberFormat="1" applyFont="1" applyBorder="1" applyAlignment="1">
      <alignment horizontal="center" vertical="center" shrinkToFit="1"/>
    </xf>
    <xf numFmtId="178" fontId="26" fillId="0" borderId="84" xfId="44" applyNumberFormat="1" applyFont="1" applyBorder="1" applyAlignment="1">
      <alignment horizontal="center" vertical="center" shrinkToFit="1"/>
    </xf>
    <xf numFmtId="178" fontId="26" fillId="0" borderId="78" xfId="44" applyNumberFormat="1" applyFont="1" applyBorder="1" applyAlignment="1">
      <alignment horizontal="center" vertical="center" shrinkToFit="1"/>
    </xf>
    <xf numFmtId="178" fontId="26" fillId="0" borderId="55" xfId="44" applyNumberFormat="1" applyFont="1" applyBorder="1" applyAlignment="1">
      <alignment horizontal="center" vertical="center" shrinkToFit="1"/>
    </xf>
    <xf numFmtId="178" fontId="26" fillId="0" borderId="85" xfId="44" applyNumberFormat="1" applyFont="1" applyBorder="1" applyAlignment="1">
      <alignment horizontal="center" vertical="center" shrinkToFit="1"/>
    </xf>
    <xf numFmtId="0" fontId="23" fillId="0" borderId="38" xfId="44" applyFont="1" applyBorder="1" applyAlignment="1">
      <alignment horizontal="center" vertical="center"/>
    </xf>
    <xf numFmtId="0" fontId="47" fillId="0" borderId="0" xfId="44" applyFont="1" applyAlignment="1">
      <alignment horizontal="left" vertical="center"/>
    </xf>
    <xf numFmtId="0" fontId="23" fillId="0" borderId="81" xfId="44" applyFont="1" applyBorder="1" applyAlignment="1">
      <alignment horizontal="center" vertical="center" wrapText="1"/>
    </xf>
    <xf numFmtId="0" fontId="23" fillId="0" borderId="95" xfId="44" applyFont="1" applyBorder="1" applyAlignment="1">
      <alignment horizontal="center" vertical="center"/>
    </xf>
    <xf numFmtId="0" fontId="23" fillId="0" borderId="91" xfId="44" applyFont="1" applyBorder="1" applyAlignment="1">
      <alignment horizontal="center" vertical="center"/>
    </xf>
    <xf numFmtId="0" fontId="23" fillId="0" borderId="96" xfId="44" applyFont="1" applyBorder="1" applyAlignment="1">
      <alignment horizontal="center" vertical="center"/>
    </xf>
    <xf numFmtId="0" fontId="23" fillId="0" borderId="97" xfId="44" applyFont="1" applyBorder="1" applyAlignment="1">
      <alignment horizontal="center" vertical="center"/>
    </xf>
    <xf numFmtId="0" fontId="23" fillId="0" borderId="47" xfId="44" applyFont="1" applyBorder="1" applyAlignment="1">
      <alignment horizontal="center" vertical="center"/>
    </xf>
    <xf numFmtId="0" fontId="23" fillId="0" borderId="98" xfId="44" applyFont="1" applyBorder="1" applyAlignment="1">
      <alignment horizontal="center" vertical="center"/>
    </xf>
    <xf numFmtId="0" fontId="23" fillId="0" borderId="52" xfId="44" applyFont="1" applyBorder="1" applyAlignment="1">
      <alignment horizontal="center" vertical="center"/>
    </xf>
    <xf numFmtId="0" fontId="23" fillId="0" borderId="99" xfId="44" applyFont="1" applyBorder="1" applyAlignment="1">
      <alignment horizontal="center" vertical="center"/>
    </xf>
    <xf numFmtId="0" fontId="23" fillId="0" borderId="100" xfId="44" applyFont="1" applyBorder="1" applyAlignment="1">
      <alignment horizontal="center" vertical="center"/>
    </xf>
    <xf numFmtId="0" fontId="23" fillId="0" borderId="101" xfId="44" applyFont="1" applyBorder="1" applyAlignment="1">
      <alignment horizontal="center" vertical="center"/>
    </xf>
    <xf numFmtId="0" fontId="23" fillId="0" borderId="95" xfId="44" applyFont="1" applyBorder="1" applyAlignment="1">
      <alignment horizontal="center" vertical="center" wrapText="1"/>
    </xf>
    <xf numFmtId="0" fontId="23" fillId="0" borderId="77" xfId="44" applyFont="1" applyBorder="1" applyAlignment="1">
      <alignment horizontal="center" vertical="center"/>
    </xf>
    <xf numFmtId="0" fontId="23" fillId="0" borderId="102" xfId="44" applyFont="1" applyBorder="1" applyAlignment="1">
      <alignment horizontal="center" vertical="center"/>
    </xf>
    <xf numFmtId="0" fontId="23" fillId="0" borderId="103" xfId="44" applyFont="1" applyBorder="1" applyAlignment="1">
      <alignment horizontal="center" vertical="center"/>
    </xf>
    <xf numFmtId="0" fontId="23" fillId="0" borderId="94" xfId="44" applyFont="1" applyBorder="1" applyAlignment="1">
      <alignment horizontal="center" vertical="center"/>
    </xf>
    <xf numFmtId="0" fontId="23" fillId="0" borderId="79" xfId="44" applyFont="1" applyBorder="1" applyAlignment="1">
      <alignment horizontal="center" vertical="center"/>
    </xf>
    <xf numFmtId="0" fontId="26" fillId="0" borderId="0" xfId="44" applyFont="1" applyBorder="1" applyAlignment="1">
      <alignment horizontal="center" vertical="center" shrinkToFit="1"/>
    </xf>
    <xf numFmtId="0" fontId="26" fillId="0" borderId="104" xfId="44" applyFont="1" applyBorder="1" applyAlignment="1">
      <alignment horizontal="center" vertical="center" shrinkToFit="1"/>
    </xf>
    <xf numFmtId="0" fontId="26" fillId="0" borderId="105" xfId="44" applyFont="1" applyBorder="1" applyAlignment="1">
      <alignment horizontal="center" vertical="center" shrinkToFit="1"/>
    </xf>
    <xf numFmtId="0" fontId="26" fillId="0" borderId="38" xfId="44" applyFont="1" applyBorder="1" applyAlignment="1">
      <alignment horizontal="center" vertical="center" shrinkToFit="1"/>
    </xf>
    <xf numFmtId="0" fontId="13" fillId="0" borderId="0" xfId="44" quotePrefix="1" applyFont="1" applyAlignment="1">
      <alignment horizontal="center" vertical="center"/>
    </xf>
    <xf numFmtId="0" fontId="13" fillId="0" borderId="0" xfId="44" applyFont="1" applyAlignment="1">
      <alignment horizontal="center" vertical="center"/>
    </xf>
    <xf numFmtId="0" fontId="30" fillId="0" borderId="106" xfId="44" applyFont="1" applyBorder="1" applyAlignment="1">
      <alignment horizontal="right" vertical="center"/>
    </xf>
    <xf numFmtId="0" fontId="31" fillId="0" borderId="106" xfId="44" applyFont="1" applyBorder="1" applyAlignment="1">
      <alignment horizontal="right" vertical="center"/>
    </xf>
    <xf numFmtId="0" fontId="23" fillId="0" borderId="107" xfId="44" applyFont="1" applyBorder="1" applyAlignment="1">
      <alignment horizontal="center" vertical="center" wrapText="1"/>
    </xf>
    <xf numFmtId="0" fontId="23" fillId="0" borderId="108" xfId="44" applyFont="1" applyBorder="1" applyAlignment="1">
      <alignment horizontal="center" vertical="center"/>
    </xf>
    <xf numFmtId="0" fontId="23" fillId="0" borderId="109" xfId="44" applyFont="1" applyBorder="1" applyAlignment="1">
      <alignment horizontal="center" vertical="center" wrapText="1"/>
    </xf>
    <xf numFmtId="0" fontId="23" fillId="0" borderId="52" xfId="44" applyFont="1" applyBorder="1" applyAlignment="1">
      <alignment horizontal="center" vertical="center" wrapText="1"/>
    </xf>
    <xf numFmtId="0" fontId="52" fillId="0" borderId="110" xfId="44" applyFont="1" applyBorder="1" applyAlignment="1">
      <alignment horizontal="center" vertical="center" wrapText="1" shrinkToFit="1"/>
    </xf>
    <xf numFmtId="0" fontId="52" fillId="0" borderId="111" xfId="44" applyFont="1" applyBorder="1" applyAlignment="1">
      <alignment horizontal="center" vertical="center" wrapText="1" shrinkToFit="1"/>
    </xf>
    <xf numFmtId="0" fontId="52" fillId="0" borderId="78" xfId="44" applyFont="1" applyBorder="1" applyAlignment="1">
      <alignment horizontal="center" vertical="center" wrapText="1" shrinkToFit="1"/>
    </xf>
    <xf numFmtId="0" fontId="52" fillId="0" borderId="85" xfId="44" applyFont="1" applyBorder="1" applyAlignment="1">
      <alignment horizontal="center" vertical="center" wrapText="1" shrinkToFit="1"/>
    </xf>
    <xf numFmtId="0" fontId="26" fillId="0" borderId="110" xfId="44" applyFont="1" applyBorder="1" applyAlignment="1">
      <alignment horizontal="center" vertical="center" shrinkToFit="1"/>
    </xf>
    <xf numFmtId="0" fontId="26" fillId="0" borderId="108" xfId="44" applyFont="1" applyBorder="1" applyAlignment="1">
      <alignment horizontal="center" vertical="center" shrinkToFit="1"/>
    </xf>
    <xf numFmtId="0" fontId="24" fillId="0" borderId="112" xfId="44" applyFont="1" applyBorder="1" applyAlignment="1">
      <alignment horizontal="center" vertical="center" wrapText="1"/>
    </xf>
    <xf numFmtId="0" fontId="23" fillId="0" borderId="108" xfId="44" applyFont="1" applyBorder="1" applyAlignment="1">
      <alignment horizontal="center" vertical="center" wrapText="1"/>
    </xf>
    <xf numFmtId="0" fontId="23" fillId="0" borderId="113" xfId="44" applyFont="1" applyBorder="1" applyAlignment="1">
      <alignment horizontal="center" vertical="center" wrapText="1"/>
    </xf>
    <xf numFmtId="0" fontId="23" fillId="0" borderId="94" xfId="44" applyFont="1" applyBorder="1" applyAlignment="1">
      <alignment horizontal="center" vertical="center" wrapText="1"/>
    </xf>
    <xf numFmtId="0" fontId="23" fillId="0" borderId="55" xfId="44" applyFont="1" applyBorder="1" applyAlignment="1">
      <alignment horizontal="center" vertical="center" wrapText="1"/>
    </xf>
    <xf numFmtId="0" fontId="23" fillId="0" borderId="79" xfId="44" applyFont="1" applyBorder="1" applyAlignment="1">
      <alignment horizontal="center" vertical="center" wrapText="1"/>
    </xf>
    <xf numFmtId="0" fontId="26" fillId="0" borderId="114" xfId="44" applyFont="1" applyBorder="1" applyAlignment="1">
      <alignment horizontal="center" vertical="center" shrinkToFit="1"/>
    </xf>
    <xf numFmtId="0" fontId="26" fillId="0" borderId="115" xfId="44" applyFont="1" applyBorder="1" applyAlignment="1">
      <alignment horizontal="center" vertical="center" shrinkToFit="1"/>
    </xf>
    <xf numFmtId="0" fontId="26" fillId="0" borderId="54" xfId="44" applyFont="1" applyBorder="1" applyAlignment="1">
      <alignment horizontal="center" vertical="center" shrinkToFit="1"/>
    </xf>
    <xf numFmtId="0" fontId="26" fillId="0" borderId="98" xfId="44" applyFont="1" applyBorder="1" applyAlignment="1">
      <alignment horizontal="center" vertical="center" shrinkToFit="1"/>
    </xf>
    <xf numFmtId="0" fontId="24" fillId="0" borderId="106" xfId="44" applyFont="1" applyBorder="1" applyAlignment="1">
      <alignment horizontal="center" vertical="center"/>
    </xf>
    <xf numFmtId="0" fontId="46" fillId="0" borderId="0" xfId="44" applyFont="1" applyAlignment="1" applyProtection="1">
      <alignment horizontal="center" vertical="center"/>
      <protection locked="0"/>
    </xf>
    <xf numFmtId="0" fontId="13" fillId="0" borderId="0" xfId="44" applyFont="1" applyAlignment="1">
      <alignment horizontal="center" vertical="center" wrapText="1"/>
    </xf>
    <xf numFmtId="0" fontId="31" fillId="0" borderId="0" xfId="45" applyFont="1" applyAlignment="1">
      <alignment horizontal="center" vertical="center"/>
    </xf>
    <xf numFmtId="0" fontId="31" fillId="0" borderId="106" xfId="45" applyFont="1" applyBorder="1" applyAlignment="1">
      <alignment horizontal="center" vertical="center"/>
    </xf>
    <xf numFmtId="0" fontId="26" fillId="0" borderId="0" xfId="45" applyFont="1" applyBorder="1" applyAlignment="1">
      <alignment horizontal="center" vertical="center" shrinkToFit="1"/>
    </xf>
    <xf numFmtId="0" fontId="26" fillId="0" borderId="116" xfId="45" applyFont="1" applyBorder="1" applyAlignment="1">
      <alignment horizontal="center" vertical="center" shrinkToFit="1"/>
    </xf>
    <xf numFmtId="0" fontId="26" fillId="0" borderId="117" xfId="45" applyFont="1" applyBorder="1" applyAlignment="1">
      <alignment horizontal="center" vertical="center" shrinkToFit="1"/>
    </xf>
    <xf numFmtId="0" fontId="26" fillId="0" borderId="118" xfId="45" applyFont="1" applyBorder="1" applyAlignment="1">
      <alignment horizontal="center" vertical="center" shrinkToFit="1"/>
    </xf>
    <xf numFmtId="0" fontId="26" fillId="0" borderId="119" xfId="45" applyFont="1" applyBorder="1" applyAlignment="1">
      <alignment horizontal="center" vertical="center" shrinkToFit="1"/>
    </xf>
    <xf numFmtId="0" fontId="26" fillId="0" borderId="120" xfId="45" applyFont="1" applyBorder="1" applyAlignment="1">
      <alignment horizontal="center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78" xfId="45" applyFont="1" applyBorder="1" applyAlignment="1">
      <alignment horizontal="center" vertical="center" shrinkToFit="1"/>
    </xf>
    <xf numFmtId="0" fontId="26" fillId="0" borderId="55" xfId="45" applyFont="1" applyBorder="1" applyAlignment="1">
      <alignment horizontal="center" vertical="center" shrinkToFit="1"/>
    </xf>
    <xf numFmtId="0" fontId="26" fillId="0" borderId="81" xfId="45" applyFont="1" applyBorder="1" applyAlignment="1">
      <alignment horizontal="center" vertical="center" shrinkToFit="1"/>
    </xf>
    <xf numFmtId="0" fontId="26" fillId="0" borderId="77" xfId="45" applyFont="1" applyBorder="1" applyAlignment="1">
      <alignment horizontal="center" vertical="center" shrinkToFit="1"/>
    </xf>
    <xf numFmtId="0" fontId="26" fillId="0" borderId="83" xfId="45" applyFont="1" applyBorder="1" applyAlignment="1">
      <alignment horizontal="center" vertical="center" shrinkToFit="1"/>
    </xf>
    <xf numFmtId="0" fontId="26" fillId="0" borderId="79" xfId="45" applyFont="1" applyBorder="1" applyAlignment="1">
      <alignment horizontal="center" vertical="center" shrinkToFit="1"/>
    </xf>
    <xf numFmtId="0" fontId="26" fillId="0" borderId="76" xfId="45" applyFont="1" applyBorder="1" applyAlignment="1">
      <alignment horizontal="center" vertical="center" shrinkToFit="1"/>
    </xf>
    <xf numFmtId="0" fontId="26" fillId="0" borderId="82" xfId="45" applyFont="1" applyBorder="1" applyAlignment="1">
      <alignment horizontal="center" vertical="center" shrinkToFit="1"/>
    </xf>
    <xf numFmtId="0" fontId="26" fillId="0" borderId="84" xfId="45" applyFont="1" applyBorder="1" applyAlignment="1">
      <alignment horizontal="center" vertical="center" shrinkToFit="1"/>
    </xf>
    <xf numFmtId="0" fontId="26" fillId="0" borderId="85" xfId="45" applyFont="1" applyBorder="1" applyAlignment="1">
      <alignment horizontal="center" vertical="center" shrinkToFit="1"/>
    </xf>
    <xf numFmtId="0" fontId="26" fillId="0" borderId="91" xfId="45" applyFont="1" applyBorder="1" applyAlignment="1">
      <alignment horizontal="center" vertical="center" shrinkToFit="1"/>
    </xf>
    <xf numFmtId="0" fontId="26" fillId="0" borderId="90" xfId="45" applyFont="1" applyBorder="1" applyAlignment="1">
      <alignment horizontal="center" vertical="center" shrinkToFit="1"/>
    </xf>
    <xf numFmtId="0" fontId="26" fillId="0" borderId="80" xfId="45" applyFont="1" applyBorder="1" applyAlignment="1">
      <alignment horizontal="center" vertical="center" shrinkToFit="1"/>
    </xf>
    <xf numFmtId="0" fontId="26" fillId="0" borderId="121" xfId="45" applyFont="1" applyBorder="1" applyAlignment="1">
      <alignment horizontal="center" vertical="center" shrinkToFit="1"/>
    </xf>
    <xf numFmtId="0" fontId="26" fillId="0" borderId="95" xfId="45" applyFont="1" applyBorder="1" applyAlignment="1">
      <alignment horizontal="center" vertical="center" shrinkToFit="1"/>
    </xf>
    <xf numFmtId="0" fontId="26" fillId="0" borderId="94" xfId="45" applyFont="1" applyBorder="1" applyAlignment="1">
      <alignment horizontal="center" vertical="center" shrinkToFit="1"/>
    </xf>
    <xf numFmtId="0" fontId="26" fillId="0" borderId="125" xfId="45" applyFont="1" applyBorder="1" applyAlignment="1">
      <alignment horizontal="center" vertical="center" shrinkToFit="1"/>
    </xf>
    <xf numFmtId="0" fontId="26" fillId="0" borderId="126" xfId="45" applyFont="1" applyBorder="1" applyAlignment="1">
      <alignment horizontal="center" vertical="center" shrinkToFit="1"/>
    </xf>
    <xf numFmtId="0" fontId="26" fillId="0" borderId="107" xfId="45" applyFont="1" applyBorder="1" applyAlignment="1">
      <alignment horizontal="center" vertical="center" shrinkToFit="1"/>
    </xf>
    <xf numFmtId="0" fontId="26" fillId="0" borderId="108" xfId="45" applyFont="1" applyBorder="1" applyAlignment="1">
      <alignment horizontal="center" vertical="center" shrinkToFit="1"/>
    </xf>
    <xf numFmtId="0" fontId="26" fillId="0" borderId="86" xfId="45" applyFont="1" applyBorder="1" applyAlignment="1">
      <alignment horizontal="center" vertical="center" shrinkToFit="1"/>
    </xf>
    <xf numFmtId="0" fontId="26" fillId="0" borderId="122" xfId="45" applyFont="1" applyBorder="1" applyAlignment="1">
      <alignment horizontal="center" vertical="center" shrinkToFit="1"/>
    </xf>
    <xf numFmtId="0" fontId="26" fillId="0" borderId="123" xfId="45" applyFont="1" applyBorder="1" applyAlignment="1">
      <alignment horizontal="center" vertical="center" shrinkToFit="1"/>
    </xf>
    <xf numFmtId="0" fontId="26" fillId="0" borderId="124" xfId="45" applyFont="1" applyBorder="1" applyAlignment="1">
      <alignment horizontal="center" vertical="center" shrinkToFit="1"/>
    </xf>
    <xf numFmtId="0" fontId="26" fillId="0" borderId="106" xfId="45" applyFont="1" applyBorder="1" applyAlignment="1">
      <alignment horizontal="center" vertical="center" shrinkToFit="1"/>
    </xf>
    <xf numFmtId="0" fontId="26" fillId="0" borderId="102" xfId="45" applyFont="1" applyBorder="1" applyAlignment="1">
      <alignment horizontal="center" vertical="center" shrinkToFit="1"/>
    </xf>
    <xf numFmtId="0" fontId="26" fillId="0" borderId="103" xfId="45" applyFont="1" applyBorder="1" applyAlignment="1">
      <alignment horizontal="center" vertical="center" shrinkToFit="1"/>
    </xf>
    <xf numFmtId="0" fontId="26" fillId="0" borderId="33" xfId="45" applyFont="1" applyBorder="1" applyAlignment="1">
      <alignment horizontal="center" vertical="center" shrinkToFit="1"/>
    </xf>
    <xf numFmtId="0" fontId="26" fillId="0" borderId="104" xfId="45" applyFont="1" applyBorder="1" applyAlignment="1">
      <alignment horizontal="center" vertical="center" shrinkToFit="1"/>
    </xf>
    <xf numFmtId="0" fontId="26" fillId="0" borderId="110" xfId="45" applyNumberFormat="1" applyFont="1" applyBorder="1" applyAlignment="1">
      <alignment horizontal="center" vertical="center" shrinkToFit="1"/>
    </xf>
    <xf numFmtId="0" fontId="26" fillId="0" borderId="108" xfId="45" applyNumberFormat="1" applyFont="1" applyBorder="1" applyAlignment="1">
      <alignment horizontal="center" vertical="center" shrinkToFit="1"/>
    </xf>
    <xf numFmtId="0" fontId="26" fillId="0" borderId="129" xfId="45" applyNumberFormat="1" applyFont="1" applyBorder="1" applyAlignment="1">
      <alignment horizontal="center" vertical="center" shrinkToFit="1"/>
    </xf>
    <xf numFmtId="0" fontId="26" fillId="0" borderId="33" xfId="45" applyNumberFormat="1" applyFont="1" applyBorder="1" applyAlignment="1">
      <alignment horizontal="center" vertical="center" shrinkToFit="1"/>
    </xf>
    <xf numFmtId="0" fontId="26" fillId="0" borderId="0" xfId="45" applyNumberFormat="1" applyFont="1" applyBorder="1" applyAlignment="1">
      <alignment horizontal="center" vertical="center" shrinkToFit="1"/>
    </xf>
    <xf numFmtId="0" fontId="26" fillId="0" borderId="89" xfId="45" applyNumberFormat="1" applyFont="1" applyBorder="1" applyAlignment="1">
      <alignment horizontal="center" vertical="center" shrinkToFit="1"/>
    </xf>
    <xf numFmtId="0" fontId="50" fillId="0" borderId="110" xfId="45" applyFont="1" applyBorder="1" applyAlignment="1">
      <alignment horizontal="center" vertical="center" shrinkToFit="1"/>
    </xf>
    <xf numFmtId="0" fontId="51" fillId="0" borderId="108" xfId="45" applyFont="1" applyBorder="1" applyAlignment="1">
      <alignment horizontal="center" vertical="center" shrinkToFit="1"/>
    </xf>
    <xf numFmtId="0" fontId="51" fillId="0" borderId="111" xfId="45" applyFont="1" applyBorder="1" applyAlignment="1">
      <alignment horizontal="center" vertical="center" shrinkToFit="1"/>
    </xf>
    <xf numFmtId="0" fontId="51" fillId="0" borderId="78" xfId="45" applyFont="1" applyBorder="1" applyAlignment="1">
      <alignment horizontal="center" vertical="center" shrinkToFit="1"/>
    </xf>
    <xf numFmtId="0" fontId="51" fillId="0" borderId="55" xfId="45" applyFont="1" applyBorder="1" applyAlignment="1">
      <alignment horizontal="center" vertical="center" shrinkToFit="1"/>
    </xf>
    <xf numFmtId="0" fontId="51" fillId="0" borderId="85" xfId="45" applyFont="1" applyBorder="1" applyAlignment="1">
      <alignment horizontal="center" vertical="center" shrinkToFit="1"/>
    </xf>
    <xf numFmtId="0" fontId="23" fillId="0" borderId="0" xfId="45" applyFont="1" applyAlignment="1">
      <alignment horizontal="center" vertical="center"/>
    </xf>
    <xf numFmtId="0" fontId="26" fillId="0" borderId="127" xfId="45" applyFont="1" applyBorder="1" applyAlignment="1">
      <alignment horizontal="center" vertical="center" shrinkToFit="1"/>
    </xf>
    <xf numFmtId="0" fontId="26" fillId="0" borderId="128" xfId="45" applyFont="1" applyBorder="1" applyAlignment="1">
      <alignment horizontal="center" vertical="center" shrinkToFit="1"/>
    </xf>
    <xf numFmtId="0" fontId="24" fillId="0" borderId="0" xfId="45" applyFont="1" applyBorder="1" applyAlignment="1">
      <alignment horizontal="center" vertical="center" wrapText="1"/>
    </xf>
    <xf numFmtId="0" fontId="23" fillId="0" borderId="0" xfId="45" applyFont="1" applyBorder="1" applyAlignment="1">
      <alignment horizontal="center" vertical="center"/>
    </xf>
    <xf numFmtId="0" fontId="49" fillId="0" borderId="106" xfId="45" applyFont="1" applyBorder="1" applyAlignment="1">
      <alignment horizontal="right" vertical="center"/>
    </xf>
    <xf numFmtId="181" fontId="26" fillId="0" borderId="76" xfId="45" applyNumberFormat="1" applyFont="1" applyBorder="1" applyAlignment="1">
      <alignment horizontal="center" vertical="center" shrinkToFit="1"/>
    </xf>
    <xf numFmtId="181" fontId="26" fillId="0" borderId="82" xfId="45" applyNumberFormat="1" applyFont="1" applyBorder="1" applyAlignment="1">
      <alignment horizontal="center" vertical="center" shrinkToFit="1"/>
    </xf>
    <xf numFmtId="181" fontId="26" fillId="0" borderId="84" xfId="45" applyNumberFormat="1" applyFont="1" applyBorder="1" applyAlignment="1">
      <alignment horizontal="center" vertical="center" shrinkToFit="1"/>
    </xf>
    <xf numFmtId="181" fontId="26" fillId="0" borderId="78" xfId="45" applyNumberFormat="1" applyFont="1" applyBorder="1" applyAlignment="1">
      <alignment horizontal="center" vertical="center" shrinkToFit="1"/>
    </xf>
    <xf numFmtId="181" fontId="26" fillId="0" borderId="55" xfId="45" applyNumberFormat="1" applyFont="1" applyBorder="1" applyAlignment="1">
      <alignment horizontal="center" vertical="center" shrinkToFit="1"/>
    </xf>
    <xf numFmtId="181" fontId="26" fillId="0" borderId="85" xfId="45" applyNumberFormat="1" applyFont="1" applyBorder="1" applyAlignment="1">
      <alignment horizontal="center" vertical="center" shrinkToFit="1"/>
    </xf>
    <xf numFmtId="0" fontId="48" fillId="24" borderId="0" xfId="45" applyFont="1" applyFill="1" applyAlignment="1">
      <alignment horizontal="center" vertical="center"/>
    </xf>
    <xf numFmtId="0" fontId="48" fillId="24" borderId="106" xfId="45" applyFont="1" applyFill="1" applyBorder="1" applyAlignment="1">
      <alignment horizontal="center" vertical="center"/>
    </xf>
    <xf numFmtId="0" fontId="49" fillId="0" borderId="0" xfId="45" applyFont="1" applyBorder="1" applyAlignment="1">
      <alignment horizontal="right" vertical="center"/>
    </xf>
    <xf numFmtId="0" fontId="26" fillId="0" borderId="76" xfId="45" applyNumberFormat="1" applyFont="1" applyBorder="1" applyAlignment="1">
      <alignment horizontal="center" vertical="center" shrinkToFit="1"/>
    </xf>
    <xf numFmtId="0" fontId="26" fillId="0" borderId="82" xfId="45" applyNumberFormat="1" applyFont="1" applyBorder="1" applyAlignment="1">
      <alignment horizontal="center" vertical="center" shrinkToFit="1"/>
    </xf>
    <xf numFmtId="0" fontId="26" fillId="0" borderId="91" xfId="45" applyNumberFormat="1" applyFont="1" applyBorder="1" applyAlignment="1">
      <alignment horizontal="center" vertical="center" shrinkToFit="1"/>
    </xf>
    <xf numFmtId="0" fontId="50" fillId="0" borderId="76" xfId="45" applyFont="1" applyBorder="1" applyAlignment="1">
      <alignment horizontal="center" vertical="center" shrinkToFit="1"/>
    </xf>
    <xf numFmtId="0" fontId="51" fillId="0" borderId="82" xfId="45" applyFont="1" applyBorder="1" applyAlignment="1">
      <alignment horizontal="center" vertical="center" shrinkToFit="1"/>
    </xf>
    <xf numFmtId="0" fontId="51" fillId="0" borderId="91" xfId="45" applyFont="1" applyBorder="1" applyAlignment="1">
      <alignment horizontal="center" vertical="center" shrinkToFit="1"/>
    </xf>
    <xf numFmtId="0" fontId="51" fillId="0" borderId="90" xfId="45" applyFont="1" applyBorder="1" applyAlignment="1">
      <alignment horizontal="center" vertical="center" shrinkToFit="1"/>
    </xf>
    <xf numFmtId="0" fontId="23" fillId="0" borderId="0" xfId="45" quotePrefix="1" applyFont="1" applyBorder="1" applyAlignment="1">
      <alignment horizontal="center" vertical="center"/>
    </xf>
    <xf numFmtId="0" fontId="26" fillId="0" borderId="89" xfId="45" applyFont="1" applyBorder="1" applyAlignment="1">
      <alignment horizontal="center" vertical="center" shrinkToFit="1"/>
    </xf>
    <xf numFmtId="0" fontId="48" fillId="24" borderId="0" xfId="45" applyFont="1" applyFill="1" applyBorder="1" applyAlignment="1">
      <alignment horizontal="center" vertical="center"/>
    </xf>
    <xf numFmtId="0" fontId="28" fillId="27" borderId="0" xfId="46" applyFont="1" applyFill="1" applyBorder="1" applyAlignment="1">
      <alignment horizontal="center" vertical="center"/>
    </xf>
    <xf numFmtId="0" fontId="27" fillId="0" borderId="74" xfId="46" applyFont="1" applyBorder="1" applyAlignment="1">
      <alignment horizontal="center" vertical="center"/>
    </xf>
    <xf numFmtId="0" fontId="27" fillId="0" borderId="75" xfId="46" applyFont="1" applyBorder="1" applyAlignment="1">
      <alignment horizontal="center" vertical="center"/>
    </xf>
    <xf numFmtId="0" fontId="27" fillId="0" borderId="76" xfId="46" applyFont="1" applyBorder="1" applyAlignment="1">
      <alignment horizontal="center" vertical="center"/>
    </xf>
    <xf numFmtId="0" fontId="27" fillId="0" borderId="82" xfId="46" applyFont="1" applyBorder="1" applyAlignment="1">
      <alignment horizontal="center" vertical="center"/>
    </xf>
    <xf numFmtId="0" fontId="27" fillId="0" borderId="91" xfId="46" applyFont="1" applyBorder="1" applyAlignment="1">
      <alignment horizontal="center" vertical="center"/>
    </xf>
    <xf numFmtId="0" fontId="27" fillId="0" borderId="78" xfId="46" applyFont="1" applyBorder="1" applyAlignment="1">
      <alignment horizontal="center" vertical="center"/>
    </xf>
    <xf numFmtId="0" fontId="27" fillId="0" borderId="55" xfId="46" applyFont="1" applyBorder="1" applyAlignment="1">
      <alignment horizontal="center" vertical="center"/>
    </xf>
    <xf numFmtId="0" fontId="27" fillId="0" borderId="90" xfId="46" applyFont="1" applyBorder="1" applyAlignment="1">
      <alignment horizontal="center" vertical="center"/>
    </xf>
    <xf numFmtId="0" fontId="27" fillId="0" borderId="47" xfId="46" applyFont="1" applyBorder="1" applyAlignment="1">
      <alignment horizontal="center" vertical="center"/>
    </xf>
    <xf numFmtId="0" fontId="27" fillId="0" borderId="77" xfId="46" applyFont="1" applyBorder="1" applyAlignment="1">
      <alignment horizontal="center" vertical="center"/>
    </xf>
    <xf numFmtId="0" fontId="27" fillId="0" borderId="48" xfId="46" applyFont="1" applyBorder="1" applyAlignment="1">
      <alignment horizontal="center" vertical="center"/>
    </xf>
    <xf numFmtId="0" fontId="27" fillId="0" borderId="52" xfId="46" applyFont="1" applyBorder="1" applyAlignment="1">
      <alignment horizontal="center" vertical="center"/>
    </xf>
    <xf numFmtId="0" fontId="27" fillId="0" borderId="79" xfId="46" applyFont="1" applyBorder="1" applyAlignment="1">
      <alignment horizontal="center" vertical="center"/>
    </xf>
    <xf numFmtId="0" fontId="27" fillId="0" borderId="53" xfId="46" applyFont="1" applyBorder="1" applyAlignment="1">
      <alignment horizontal="center" vertical="center"/>
    </xf>
    <xf numFmtId="0" fontId="27" fillId="0" borderId="18" xfId="46" applyFont="1" applyBorder="1" applyAlignment="1">
      <alignment horizontal="center" vertical="center"/>
    </xf>
    <xf numFmtId="0" fontId="27" fillId="0" borderId="59" xfId="46" applyFont="1" applyBorder="1" applyAlignment="1">
      <alignment horizontal="center" vertical="center"/>
    </xf>
    <xf numFmtId="0" fontId="27" fillId="0" borderId="58" xfId="46" applyFont="1" applyBorder="1" applyAlignment="1">
      <alignment horizontal="center" vertical="center"/>
    </xf>
    <xf numFmtId="0" fontId="27" fillId="0" borderId="67" xfId="46" applyFont="1" applyBorder="1" applyAlignment="1">
      <alignment horizontal="center" vertical="center"/>
    </xf>
    <xf numFmtId="0" fontId="27" fillId="0" borderId="23" xfId="46" applyFont="1" applyBorder="1" applyAlignment="1">
      <alignment horizontal="center" vertical="center"/>
    </xf>
    <xf numFmtId="0" fontId="27" fillId="0" borderId="130" xfId="46" applyFont="1" applyBorder="1" applyAlignment="1">
      <alignment horizontal="center" vertical="center"/>
    </xf>
    <xf numFmtId="0" fontId="27" fillId="0" borderId="24" xfId="46" applyFont="1" applyBorder="1" applyAlignment="1">
      <alignment horizontal="center" vertical="center"/>
    </xf>
    <xf numFmtId="0" fontId="27" fillId="0" borderId="69" xfId="46" applyFont="1" applyBorder="1" applyAlignment="1">
      <alignment horizontal="center" vertical="center"/>
    </xf>
    <xf numFmtId="0" fontId="27" fillId="0" borderId="29" xfId="46" applyFont="1" applyBorder="1" applyAlignment="1">
      <alignment horizontal="center" vertical="center"/>
    </xf>
    <xf numFmtId="0" fontId="27" fillId="0" borderId="131" xfId="46" applyFont="1" applyBorder="1" applyAlignment="1">
      <alignment horizontal="center" vertical="center"/>
    </xf>
    <xf numFmtId="0" fontId="27" fillId="0" borderId="50" xfId="46" applyFont="1" applyBorder="1" applyAlignment="1">
      <alignment horizontal="center" vertical="center"/>
    </xf>
    <xf numFmtId="0" fontId="27" fillId="0" borderId="34" xfId="46" applyFont="1" applyBorder="1" applyAlignment="1">
      <alignment horizontal="center" vertical="center"/>
    </xf>
    <xf numFmtId="179" fontId="27" fillId="0" borderId="49" xfId="46" applyNumberFormat="1" applyFont="1" applyBorder="1" applyAlignment="1">
      <alignment horizontal="center" vertical="center"/>
    </xf>
    <xf numFmtId="179" fontId="27" fillId="0" borderId="51" xfId="46" applyNumberFormat="1" applyFont="1" applyBorder="1" applyAlignment="1">
      <alignment horizontal="center" vertical="center"/>
    </xf>
    <xf numFmtId="179" fontId="27" fillId="0" borderId="54" xfId="46" applyNumberFormat="1" applyFont="1" applyBorder="1" applyAlignment="1">
      <alignment horizontal="center" vertical="center"/>
    </xf>
    <xf numFmtId="0" fontId="27" fillId="0" borderId="95" xfId="46" applyFont="1" applyBorder="1" applyAlignment="1">
      <alignment horizontal="center" vertical="center"/>
    </xf>
    <xf numFmtId="0" fontId="27" fillId="0" borderId="102" xfId="46" applyFont="1" applyBorder="1" applyAlignment="1">
      <alignment horizontal="center" vertical="center"/>
    </xf>
    <xf numFmtId="0" fontId="27" fillId="0" borderId="0" xfId="46" applyFont="1" applyBorder="1" applyAlignment="1">
      <alignment horizontal="center" vertical="center"/>
    </xf>
    <xf numFmtId="49" fontId="53" fillId="0" borderId="0" xfId="0" applyNumberFormat="1" applyFont="1" applyAlignment="1"/>
  </cellXfs>
  <cellStyles count="6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2" xfId="50"/>
    <cellStyle name="桁区切り 3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10" xfId="57"/>
    <cellStyle name="標準 11" xfId="58"/>
    <cellStyle name="標準 12" xfId="59"/>
    <cellStyle name="標準 2" xfId="43"/>
    <cellStyle name="標準 2 2" xfId="51"/>
    <cellStyle name="標準 3" xfId="48"/>
    <cellStyle name="標準 4" xfId="49"/>
    <cellStyle name="標準 5" xfId="52"/>
    <cellStyle name="標準 6" xfId="53"/>
    <cellStyle name="標準 7" xfId="54"/>
    <cellStyle name="標準 8" xfId="55"/>
    <cellStyle name="標準 9" xfId="56"/>
    <cellStyle name="標準_taikai_kojin2" xfId="44"/>
    <cellStyle name="標準_taikai_rire" xfId="45"/>
    <cellStyle name="標準_taikai_shumokubetsu" xfId="46"/>
    <cellStyle name="良い" xfId="47" builtinId="26" customBuiltin="1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  <color indexed="9"/>
      </font>
      <fill>
        <patternFill>
          <bgColor indexed="55"/>
        </patternFill>
      </fill>
    </dxf>
    <dxf>
      <font>
        <b val="0"/>
        <i val="0"/>
        <condense val="0"/>
        <extend val="0"/>
        <color indexed="9"/>
      </font>
      <fill>
        <patternFill>
          <bgColor indexed="55"/>
        </patternFill>
      </fill>
    </dxf>
    <dxf>
      <font>
        <b val="0"/>
        <i val="0"/>
        <condense val="0"/>
        <extend val="0"/>
        <color indexed="9"/>
      </font>
      <fill>
        <patternFill>
          <bgColor indexed="55"/>
        </patternFill>
      </fill>
    </dxf>
    <dxf>
      <font>
        <b val="0"/>
        <i val="0"/>
        <condense val="0"/>
        <extend val="0"/>
        <color indexed="9"/>
      </font>
      <fill>
        <patternFill>
          <bgColor indexed="55"/>
        </patternFill>
      </fill>
    </dxf>
    <dxf>
      <font>
        <b val="0"/>
        <i val="0"/>
        <condense val="0"/>
        <extend val="0"/>
        <color indexed="9"/>
      </font>
      <fill>
        <patternFill>
          <bgColor indexed="55"/>
        </patternFill>
      </fill>
    </dxf>
    <dxf>
      <font>
        <b val="0"/>
        <i val="0"/>
        <condense val="0"/>
        <extend val="0"/>
        <color indexed="9"/>
      </font>
      <fill>
        <patternFill>
          <bgColor indexed="55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>
      <selection activeCell="B5" sqref="B5:C5"/>
    </sheetView>
  </sheetViews>
  <sheetFormatPr defaultRowHeight="13.5"/>
  <cols>
    <col min="1" max="1" width="18.625" customWidth="1"/>
    <col min="2" max="2" width="33.75" customWidth="1"/>
    <col min="3" max="3" width="47.875" customWidth="1"/>
    <col min="4" max="15" width="0" hidden="1" customWidth="1"/>
  </cols>
  <sheetData>
    <row r="1" spans="1:15" ht="21">
      <c r="A1" s="31" t="str">
        <f>設定!B1</f>
        <v>第６８回西日本学生陸上競技対校選手権大会</v>
      </c>
    </row>
    <row r="2" spans="1:15" ht="21">
      <c r="A2" s="31" t="s">
        <v>194</v>
      </c>
    </row>
    <row r="3" spans="1:15">
      <c r="D3">
        <f>COUNTIF(D5:D12,TRUE)</f>
        <v>1</v>
      </c>
      <c r="E3">
        <f t="shared" ref="E3:O3" si="0">COUNTIF(E5:E12,TRUE)</f>
        <v>1</v>
      </c>
      <c r="F3">
        <f t="shared" si="0"/>
        <v>0</v>
      </c>
      <c r="G3">
        <f t="shared" si="0"/>
        <v>1</v>
      </c>
      <c r="H3">
        <f t="shared" si="0"/>
        <v>1</v>
      </c>
      <c r="I3">
        <f t="shared" si="0"/>
        <v>1</v>
      </c>
      <c r="J3">
        <f t="shared" si="0"/>
        <v>1</v>
      </c>
      <c r="K3">
        <f t="shared" si="0"/>
        <v>1</v>
      </c>
      <c r="L3">
        <f t="shared" si="0"/>
        <v>1</v>
      </c>
      <c r="M3">
        <f t="shared" si="0"/>
        <v>1</v>
      </c>
      <c r="N3">
        <f t="shared" si="0"/>
        <v>1</v>
      </c>
      <c r="O3">
        <f t="shared" si="0"/>
        <v>1</v>
      </c>
    </row>
    <row r="4" spans="1:15" ht="21.75" customHeight="1">
      <c r="A4" s="53" t="str">
        <f>IF(ISNA(HLOOKUP(1,D3:O4,2,FALSE)),"",HLOOKUP(1,D3:O4,2,FALSE))</f>
        <v>大学名を入力してください。</v>
      </c>
      <c r="D4" t="s">
        <v>203</v>
      </c>
      <c r="E4" t="s">
        <v>204</v>
      </c>
      <c r="F4" t="s">
        <v>205</v>
      </c>
      <c r="G4" t="s">
        <v>209</v>
      </c>
      <c r="H4" t="s">
        <v>206</v>
      </c>
      <c r="I4" t="s">
        <v>207</v>
      </c>
      <c r="J4" t="s">
        <v>208</v>
      </c>
      <c r="K4" t="s">
        <v>210</v>
      </c>
      <c r="L4" t="s">
        <v>211</v>
      </c>
      <c r="M4" t="s">
        <v>213</v>
      </c>
      <c r="N4" t="s">
        <v>214</v>
      </c>
      <c r="O4" t="s">
        <v>212</v>
      </c>
    </row>
    <row r="5" spans="1:15" ht="40.5" customHeight="1">
      <c r="A5" s="51" t="s">
        <v>195</v>
      </c>
      <c r="B5" s="154"/>
      <c r="C5" s="154"/>
      <c r="D5" t="b">
        <f>IF($B5="",TRUE,FALSE)</f>
        <v>1</v>
      </c>
    </row>
    <row r="6" spans="1:15" ht="40.5" customHeight="1">
      <c r="A6" s="52" t="s">
        <v>196</v>
      </c>
      <c r="B6" s="154"/>
      <c r="C6" s="154"/>
      <c r="E6" t="b">
        <f>IF($B6="",TRUE,FALSE)</f>
        <v>1</v>
      </c>
      <c r="F6" t="b">
        <f>IF(LEN(SUBSTITUTE($B6,"-",""))&gt;6,TRUE,FALSE)</f>
        <v>0</v>
      </c>
    </row>
    <row r="7" spans="1:15" ht="40.5" customHeight="1">
      <c r="A7" s="52" t="s">
        <v>197</v>
      </c>
      <c r="B7" s="154"/>
      <c r="C7" s="154"/>
      <c r="G7" t="b">
        <f>IF($B7="",TRUE,FALSE)</f>
        <v>1</v>
      </c>
    </row>
    <row r="8" spans="1:15" ht="40.5" customHeight="1">
      <c r="A8" s="52" t="s">
        <v>198</v>
      </c>
      <c r="B8" s="154"/>
      <c r="C8" s="154"/>
      <c r="H8" t="b">
        <f>IF($B8="",TRUE,FALSE)</f>
        <v>1</v>
      </c>
    </row>
    <row r="9" spans="1:15" ht="40.5" customHeight="1">
      <c r="A9" s="52" t="s">
        <v>199</v>
      </c>
      <c r="B9" s="154"/>
      <c r="C9" s="154"/>
      <c r="I9" t="b">
        <f>IF($B9="",TRUE,FALSE)</f>
        <v>1</v>
      </c>
      <c r="J9" t="b">
        <f>IF(AND(LEN(SUBSTITUTE($B9,"-",""))&lt;&gt;11,LEN(SUBSTITUTE($B9,"-",""))&lt;&gt;10),TRUE,FALSE)</f>
        <v>1</v>
      </c>
    </row>
    <row r="10" spans="1:15" ht="40.5" customHeight="1">
      <c r="A10" s="51" t="s">
        <v>200</v>
      </c>
      <c r="B10" s="154"/>
      <c r="C10" s="154"/>
      <c r="K10" t="b">
        <f>IF($B10="",TRUE,FALSE)</f>
        <v>1</v>
      </c>
      <c r="L10" t="b">
        <f>IF(AND(LEN(SUBSTITUTE($B10,"-",""))&lt;&gt;11,LEN(SUBSTITUTE($B10,"-",""))&lt;&gt;10),TRUE,FALSE)</f>
        <v>1</v>
      </c>
    </row>
    <row r="11" spans="1:15" ht="40.5" customHeight="1">
      <c r="A11" s="51" t="s">
        <v>201</v>
      </c>
      <c r="B11" s="90"/>
      <c r="C11" s="91"/>
      <c r="M11" t="b">
        <f>IF($B11="",TRUE,FALSE)</f>
        <v>1</v>
      </c>
      <c r="N11" t="b">
        <f>IF(LEN(SUBSTITUTE($B11,"-",""))&lt;&gt;7,TRUE,FALSE)</f>
        <v>1</v>
      </c>
    </row>
    <row r="12" spans="1:15" ht="40.5" customHeight="1">
      <c r="A12" s="51" t="s">
        <v>202</v>
      </c>
      <c r="B12" s="153"/>
      <c r="C12" s="153"/>
      <c r="O12" t="b">
        <f>IF($B12="",TRUE,FALSE)</f>
        <v>1</v>
      </c>
    </row>
  </sheetData>
  <sheetProtection password="E027" sheet="1" objects="1" scenarios="1" selectLockedCells="1"/>
  <mergeCells count="7">
    <mergeCell ref="B12:C12"/>
    <mergeCell ref="B5:C5"/>
    <mergeCell ref="B6:C6"/>
    <mergeCell ref="B7:C7"/>
    <mergeCell ref="B8:C8"/>
    <mergeCell ref="B9:C9"/>
    <mergeCell ref="B10:C10"/>
  </mergeCells>
  <phoneticPr fontId="2"/>
  <conditionalFormatting sqref="B5:C5">
    <cfRule type="expression" dxfId="44" priority="9" stopIfTrue="1">
      <formula>COUNTIF(D5:O5,TRUE)&gt;0</formula>
    </cfRule>
  </conditionalFormatting>
  <conditionalFormatting sqref="B6:C6">
    <cfRule type="expression" dxfId="43" priority="8" stopIfTrue="1">
      <formula>COUNTIF(D6:O6,TRUE)&gt;0</formula>
    </cfRule>
  </conditionalFormatting>
  <conditionalFormatting sqref="B11">
    <cfRule type="expression" dxfId="42" priority="4" stopIfTrue="1">
      <formula>COUNTIF(D11:O11,TRUE)&gt;0</formula>
    </cfRule>
  </conditionalFormatting>
  <conditionalFormatting sqref="B7:C10">
    <cfRule type="expression" dxfId="41" priority="2" stopIfTrue="1">
      <formula>COUNTIF(D7:O7,TRUE)&gt;0</formula>
    </cfRule>
  </conditionalFormatting>
  <conditionalFormatting sqref="B12:C12">
    <cfRule type="expression" dxfId="40" priority="1" stopIfTrue="1">
      <formula>COUNTIF(D12:O12,TRUE)&gt;0</formula>
    </cfRule>
  </conditionalFormatting>
  <dataValidations count="1">
    <dataValidation imeMode="off" allowBlank="1" showInputMessage="1" showErrorMessage="1" sqref="B11 B10:C10 B9:C9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31"/>
  <sheetViews>
    <sheetView topLeftCell="F1" zoomScaleNormal="100" workbookViewId="0">
      <pane ySplit="5" topLeftCell="A6" activePane="bottomLeft" state="frozen"/>
      <selection activeCell="F1" sqref="F1"/>
      <selection pane="bottomLeft" activeCell="S7" sqref="S7"/>
    </sheetView>
  </sheetViews>
  <sheetFormatPr defaultRowHeight="13.5"/>
  <cols>
    <col min="1" max="5" width="9" hidden="1" customWidth="1"/>
    <col min="7" max="7" width="3.625" customWidth="1"/>
    <col min="8" max="9" width="16.875" customWidth="1"/>
    <col min="10" max="10" width="3.5" bestFit="1" customWidth="1"/>
    <col min="11" max="11" width="12" bestFit="1" customWidth="1"/>
    <col min="12" max="12" width="8.125" bestFit="1" customWidth="1"/>
    <col min="13" max="13" width="18" bestFit="1" customWidth="1"/>
    <col min="14" max="14" width="6.25" bestFit="1" customWidth="1"/>
    <col min="16" max="16" width="11.375" bestFit="1" customWidth="1"/>
    <col min="17" max="17" width="3.375" bestFit="1" customWidth="1"/>
    <col min="18" max="18" width="3.875" bestFit="1" customWidth="1"/>
    <col min="19" max="19" width="15.25" bestFit="1" customWidth="1"/>
    <col min="20" max="20" width="11.625" bestFit="1" customWidth="1"/>
    <col min="21" max="21" width="3.375" bestFit="1" customWidth="1"/>
    <col min="22" max="22" width="3.75" bestFit="1" customWidth="1"/>
    <col min="23" max="23" width="12.5" hidden="1" customWidth="1"/>
    <col min="24" max="37" width="9" hidden="1" customWidth="1"/>
    <col min="38" max="38" width="21.625" hidden="1" customWidth="1"/>
    <col min="39" max="39" width="28.875" hidden="1" customWidth="1"/>
    <col min="40" max="40" width="19.625" hidden="1" customWidth="1"/>
    <col min="41" max="67" width="9" hidden="1" customWidth="1"/>
  </cols>
  <sheetData>
    <row r="1" spans="1:67" ht="21">
      <c r="F1" s="31" t="str">
        <f>設定!B1</f>
        <v>第６８回西日本学生陸上競技対校選手権大会</v>
      </c>
      <c r="G1" s="31"/>
      <c r="AL1">
        <f>COUNTIF(AL6:AL119,TRUE)</f>
        <v>0</v>
      </c>
      <c r="AM1">
        <f t="shared" ref="AM1:BA1" si="0">COUNTIF(AM6:AM119,TRUE)</f>
        <v>0</v>
      </c>
      <c r="AN1">
        <f t="shared" si="0"/>
        <v>0</v>
      </c>
      <c r="AO1">
        <f t="shared" si="0"/>
        <v>0</v>
      </c>
      <c r="AP1">
        <f ca="1">COUNTIF(AP6:AP119,TRUE)</f>
        <v>0</v>
      </c>
      <c r="AQ1">
        <f t="shared" si="0"/>
        <v>0</v>
      </c>
      <c r="AR1">
        <f t="shared" si="0"/>
        <v>0</v>
      </c>
      <c r="AS1">
        <f t="shared" ca="1" si="0"/>
        <v>0</v>
      </c>
      <c r="AT1">
        <f t="shared" ca="1" si="0"/>
        <v>0</v>
      </c>
      <c r="AU1">
        <f t="shared" ca="1" si="0"/>
        <v>0</v>
      </c>
      <c r="AV1">
        <f t="shared" ca="1" si="0"/>
        <v>0</v>
      </c>
      <c r="AW1">
        <f t="shared" ca="1" si="0"/>
        <v>0</v>
      </c>
      <c r="AX1">
        <f t="shared" si="0"/>
        <v>0</v>
      </c>
      <c r="AY1">
        <f t="shared" si="0"/>
        <v>0</v>
      </c>
      <c r="AZ1">
        <f t="shared" si="0"/>
        <v>0</v>
      </c>
      <c r="BA1">
        <f t="shared" si="0"/>
        <v>0</v>
      </c>
    </row>
    <row r="2" spans="1:67" ht="21">
      <c r="F2" s="31" t="s">
        <v>21</v>
      </c>
      <c r="G2" s="31"/>
      <c r="AL2">
        <f>IF(AL1=0,0,1)</f>
        <v>0</v>
      </c>
      <c r="AM2">
        <f t="shared" ref="AM2:BA2" si="1">IF(AM1=0,0,1)</f>
        <v>0</v>
      </c>
      <c r="AN2">
        <f t="shared" si="1"/>
        <v>0</v>
      </c>
      <c r="AO2">
        <f t="shared" si="1"/>
        <v>0</v>
      </c>
      <c r="AP2">
        <f t="shared" ca="1" si="1"/>
        <v>0</v>
      </c>
      <c r="AQ2">
        <f t="shared" si="1"/>
        <v>0</v>
      </c>
      <c r="AR2">
        <f t="shared" ref="AR2:AW2" si="2">IF(AR1=0,0,1)</f>
        <v>0</v>
      </c>
      <c r="AS2">
        <f t="shared" ca="1" si="2"/>
        <v>0</v>
      </c>
      <c r="AT2">
        <f t="shared" ca="1" si="2"/>
        <v>0</v>
      </c>
      <c r="AU2">
        <f t="shared" ca="1" si="2"/>
        <v>0</v>
      </c>
      <c r="AV2">
        <f t="shared" ca="1" si="2"/>
        <v>0</v>
      </c>
      <c r="AW2">
        <f t="shared" ca="1" si="2"/>
        <v>0</v>
      </c>
      <c r="AX2">
        <f t="shared" si="1"/>
        <v>0</v>
      </c>
      <c r="AY2">
        <f t="shared" si="1"/>
        <v>0</v>
      </c>
      <c r="AZ2">
        <f t="shared" si="1"/>
        <v>0</v>
      </c>
      <c r="BA2">
        <f t="shared" si="1"/>
        <v>0</v>
      </c>
    </row>
    <row r="3" spans="1:67" ht="21">
      <c r="F3" s="31"/>
      <c r="G3" s="50" t="str">
        <f ca="1">IF(ISNA(HLOOKUP(1,AL2:BB3,2,FALSE)),"",HLOOKUP(1,AL2:BB3,2,FALSE))</f>
        <v/>
      </c>
      <c r="H3" s="2"/>
      <c r="AL3" t="s">
        <v>82</v>
      </c>
      <c r="AM3" t="s">
        <v>153</v>
      </c>
      <c r="AN3" t="s">
        <v>83</v>
      </c>
      <c r="AO3" t="s">
        <v>162</v>
      </c>
      <c r="AP3" t="s">
        <v>240</v>
      </c>
      <c r="AQ3" t="s">
        <v>84</v>
      </c>
      <c r="AR3" t="s">
        <v>96</v>
      </c>
      <c r="AS3" t="s">
        <v>93</v>
      </c>
      <c r="AT3" t="s">
        <v>104</v>
      </c>
      <c r="AU3" t="s">
        <v>165</v>
      </c>
      <c r="AV3" t="s">
        <v>85</v>
      </c>
      <c r="AW3" t="s">
        <v>109</v>
      </c>
      <c r="AX3" t="s">
        <v>86</v>
      </c>
      <c r="AY3" t="s">
        <v>87</v>
      </c>
      <c r="AZ3" t="s">
        <v>88</v>
      </c>
      <c r="BA3" t="str">
        <f>"競技会の日付は "&amp;TEXT(設定!B2,"yyyy/m/d")&amp;" ～ "&amp;TEXT(設定!B3,"yyyy/m/d")&amp;" である必要があります。"</f>
        <v>競技会の日付は 2014/4/1 ～ 2015/8/1 である必要があります。</v>
      </c>
    </row>
    <row r="4" spans="1:67" ht="27">
      <c r="F4" s="6" t="s">
        <v>14</v>
      </c>
      <c r="G4" s="89" t="s">
        <v>233</v>
      </c>
      <c r="H4" s="6" t="s">
        <v>15</v>
      </c>
      <c r="I4" s="6" t="s">
        <v>22</v>
      </c>
      <c r="J4" s="89" t="s">
        <v>235</v>
      </c>
      <c r="K4" s="6" t="s">
        <v>163</v>
      </c>
      <c r="L4" s="89" t="s">
        <v>234</v>
      </c>
      <c r="M4" s="6" t="s">
        <v>18</v>
      </c>
      <c r="N4" s="6" t="s">
        <v>72</v>
      </c>
      <c r="O4" s="6" t="s">
        <v>24</v>
      </c>
      <c r="P4" s="6" t="s">
        <v>24</v>
      </c>
      <c r="Q4" s="155" t="s">
        <v>25</v>
      </c>
      <c r="R4" s="155"/>
      <c r="S4" s="6" t="s">
        <v>26</v>
      </c>
      <c r="T4" s="6" t="s">
        <v>27</v>
      </c>
      <c r="U4" s="89" t="s">
        <v>236</v>
      </c>
      <c r="V4" s="89" t="s">
        <v>237</v>
      </c>
      <c r="AB4" t="s">
        <v>238</v>
      </c>
    </row>
    <row r="5" spans="1:67" ht="16.5" customHeight="1">
      <c r="E5">
        <v>0</v>
      </c>
      <c r="F5" s="54" t="s">
        <v>193</v>
      </c>
      <c r="G5" s="55" t="s">
        <v>144</v>
      </c>
      <c r="H5" s="7" t="s">
        <v>97</v>
      </c>
      <c r="I5" s="7" t="s">
        <v>110</v>
      </c>
      <c r="J5" s="8">
        <v>4</v>
      </c>
      <c r="K5" s="32">
        <v>41730</v>
      </c>
      <c r="L5" s="7" t="s">
        <v>111</v>
      </c>
      <c r="M5" s="54" t="s">
        <v>33</v>
      </c>
      <c r="N5" s="5"/>
      <c r="O5" s="56">
        <v>1085</v>
      </c>
      <c r="P5" s="7" t="s">
        <v>100</v>
      </c>
      <c r="Q5" s="55" t="s">
        <v>98</v>
      </c>
      <c r="R5" s="57">
        <v>1</v>
      </c>
      <c r="S5" s="55" t="s">
        <v>99</v>
      </c>
      <c r="T5" s="58">
        <v>42095</v>
      </c>
      <c r="U5" s="8" t="s">
        <v>112</v>
      </c>
      <c r="V5" s="8" t="s">
        <v>113</v>
      </c>
      <c r="W5" t="s">
        <v>29</v>
      </c>
      <c r="X5" t="s">
        <v>25</v>
      </c>
      <c r="Y5" t="s">
        <v>58</v>
      </c>
      <c r="Z5" t="s">
        <v>64</v>
      </c>
      <c r="AA5" t="s">
        <v>142</v>
      </c>
      <c r="AB5" t="s">
        <v>66</v>
      </c>
      <c r="AC5" t="s">
        <v>67</v>
      </c>
      <c r="AD5" t="s">
        <v>71</v>
      </c>
      <c r="AE5" t="s">
        <v>68</v>
      </c>
      <c r="AF5" t="s">
        <v>69</v>
      </c>
      <c r="AG5" t="s">
        <v>70</v>
      </c>
      <c r="AH5" t="s">
        <v>25</v>
      </c>
      <c r="AI5" t="s">
        <v>73</v>
      </c>
      <c r="AJ5" t="s">
        <v>74</v>
      </c>
      <c r="AK5" t="s">
        <v>75</v>
      </c>
      <c r="AL5" t="s">
        <v>76</v>
      </c>
      <c r="AM5" t="s">
        <v>105</v>
      </c>
      <c r="AN5" t="s">
        <v>77</v>
      </c>
      <c r="AO5" t="s">
        <v>161</v>
      </c>
      <c r="AP5" t="s">
        <v>239</v>
      </c>
      <c r="AQ5" t="s">
        <v>78</v>
      </c>
      <c r="AR5" t="s">
        <v>95</v>
      </c>
      <c r="AS5" t="s">
        <v>94</v>
      </c>
      <c r="AT5" t="s">
        <v>103</v>
      </c>
      <c r="AU5" t="s">
        <v>164</v>
      </c>
      <c r="AV5" t="s">
        <v>79</v>
      </c>
      <c r="AW5" t="s">
        <v>108</v>
      </c>
      <c r="AX5" t="s">
        <v>80</v>
      </c>
      <c r="AY5" t="s">
        <v>81</v>
      </c>
      <c r="AZ5" t="s">
        <v>91</v>
      </c>
      <c r="BA5" t="s">
        <v>102</v>
      </c>
      <c r="BC5" t="s">
        <v>166</v>
      </c>
      <c r="BD5" t="s">
        <v>151</v>
      </c>
      <c r="BE5" t="s">
        <v>175</v>
      </c>
      <c r="BF5" t="s">
        <v>176</v>
      </c>
      <c r="BG5" t="s">
        <v>176</v>
      </c>
      <c r="BH5" t="s">
        <v>177</v>
      </c>
      <c r="BI5" t="s">
        <v>178</v>
      </c>
      <c r="BJ5" t="s">
        <v>178</v>
      </c>
    </row>
    <row r="6" spans="1:67" ht="16.5" customHeight="1">
      <c r="A6" t="str">
        <f>IF(V6="〇",F6&amp;G6,"")</f>
        <v/>
      </c>
      <c r="B6" t="str">
        <f>IF(V6="〇",G6&amp;W6,"")</f>
        <v/>
      </c>
      <c r="C6">
        <f>IF(V6="〇",IF(AI6,10,IF(AJ6,1,0)),0)</f>
        <v>0</v>
      </c>
      <c r="D6" t="str">
        <f>IF(V6="〇",F6&amp;G6&amp;W6,"")</f>
        <v/>
      </c>
      <c r="E6">
        <f>IF(B6="",0,LARGE($E$5:E5,1)+1)</f>
        <v>0</v>
      </c>
      <c r="F6" s="44"/>
      <c r="G6" s="45"/>
      <c r="H6" s="7" t="str">
        <f>IF(AND(F6="",G6=""),"",VLOOKUP(学校情報!$B$5&amp;F6&amp;G6,選手データ!$A:$H,4,FALSE))</f>
        <v/>
      </c>
      <c r="I6" s="7" t="str">
        <f>IF(AND(F6="",G6=""),"",VLOOKUP(学校情報!$B$5&amp;F6&amp;G6,選手データ!$A:$H,5,FALSE))</f>
        <v/>
      </c>
      <c r="J6" s="8" t="str">
        <f>IF(AND(F6="",G6=""),"",VLOOKUP(学校情報!$B$5&amp;F6&amp;G6,選手データ!$A:$H,6,FALSE))</f>
        <v/>
      </c>
      <c r="K6" s="32" t="str">
        <f>IF(AND(F6="",G6=""),"",VLOOKUP(学校情報!$B$5&amp;F6&amp;G6,選手データ!$A:$H,8,FALSE))</f>
        <v/>
      </c>
      <c r="L6" s="7" t="str">
        <f>IF(AND(F6="",G6=""),"",VLOOKUP(学校情報!$B$5&amp;F6&amp;G6,選手データ!$A:$I,9,FALSE))</f>
        <v/>
      </c>
      <c r="M6" s="44"/>
      <c r="N6" s="46"/>
      <c r="O6" s="47"/>
      <c r="P6" s="7" t="str">
        <f ca="1">AE6&amp;AF6&amp;AG6</f>
        <v/>
      </c>
      <c r="Q6" s="46"/>
      <c r="R6" s="48"/>
      <c r="S6" s="45"/>
      <c r="T6" s="49"/>
      <c r="U6" s="8" t="str">
        <f ca="1">IF(AI6,"A",IF(AJ6,"B",""))</f>
        <v/>
      </c>
      <c r="V6" s="8" t="str">
        <f>IF(AK6,IF(COUNTIF(AL6:BB6,TRUE)&gt;0,"×","〇"),"")</f>
        <v/>
      </c>
      <c r="W6" s="4">
        <f>IF(ISNUMBER(FIND("(",M6)),LEFT(M6,FIND("(",M6)-1),M6)</f>
        <v>0</v>
      </c>
      <c r="X6" t="b">
        <f ca="1">IF(M6="",FALSE,VLOOKUP(M6,OFFSET(設定!$D$2:$I$25,0,AA6),2,FALSE))</f>
        <v>0</v>
      </c>
      <c r="Y6" t="str">
        <f ca="1">IF(M6="","",VLOOKUP(M6,OFFSET(設定!$D$2:$I$25,0,AA6),3,FALSE))</f>
        <v/>
      </c>
      <c r="Z6" t="b">
        <f ca="1">IF(M6="",FALSE,VLOOKUP(M6,OFFSET(設定!$D$2:$I$25,0,AA6),4,FALSE))</f>
        <v>0</v>
      </c>
      <c r="AA6">
        <f>IF(G6="男",0,7)</f>
        <v>7</v>
      </c>
      <c r="AB6" s="1" t="str">
        <f ca="1">IF(M6="","",IF(AND(Z6,N6="〇"),IF(VLOOKUP(M6,OFFSET(設定!$D$2:$I$25,0,AA6),5,FALSE)="-","-",LEFT(VLOOKUP(M6,OFFSET(設定!$D$2:$I$25,0,AA6),5,FALSE),INT(LEN(VLOOKUP(M6,OFFSET(設定!$D$2:$I$25,0,AA6),5,FALSE))-1))),IF(VLOOKUP(M6,OFFSET(設定!$D$2:$I$25,0,AA6),5,FALSE)="-","-",INT(VLOOKUP(M6,OFFSET(設定!$D$2:$I$25,0,AA6),5,FALSE)))))</f>
        <v/>
      </c>
      <c r="AC6" s="1" t="str">
        <f ca="1">IF(M6="","",IF(AND(Z6,N6="〇"),IF(VLOOKUP(M6,OFFSET(設定!$D$2:$I$25,0,AA6),6,FALSE)="-","-",LEFT(VLOOKUP(M6,OFFSET(設定!$D$2:$I$25,0,AA6),6,FALSE),INT(LEN(VLOOKUP(M6,OFFSET(設定!$D$2:$I$25,0,AA6),6,FALSE))-1))),IF(VLOOKUP(M6,OFFSET(設定!$D$2:$I$25,0,AA6),6,FALSE)="-","-",INT(VLOOKUP(M6,OFFSET(設定!$D$2:$I$25,0,AA6),6,FALSE)))))</f>
        <v/>
      </c>
      <c r="AD6">
        <f>IF(N6="〇",IF(AND(Z6=TRUE,Y6="ミリ秒"),1,2),2)</f>
        <v>2</v>
      </c>
      <c r="AE6" t="str">
        <f ca="1">IF(Y6="秒",IF(LEN(O6)&lt;=2,"",IF(LEN(O6)&gt;=3,LEFT(O6,LEN(O6)-2)&amp;"分"&amp;RIGHT(O6,2)&amp;"秒","")),"")</f>
        <v/>
      </c>
      <c r="AF6" t="str">
        <f ca="1">IF(Y6="ミリ秒",IF(LEN(O6)&gt;AD6,IF(LEN(O6)&lt;=AD6+2,LEFT(O6,LEN(O6)-AD6)&amp;"秒"&amp;RIGHT(O6,AD6),LEFT(O6,LEN(O6)-(AD6+2))&amp;"分"&amp;MID(O6,LEN(O6)-(AD6+2)+1,2)&amp;"秒"&amp;RIGHT(O6,AD6)),""),"")</f>
        <v/>
      </c>
      <c r="AG6" t="str">
        <f ca="1">IF(Y6="ｍ",IF(LEN(O6)&gt;=3,LEFT(O6,LEN(O6)-2)&amp;"ｍ"&amp;RIGHT(O6,2),""),"")</f>
        <v/>
      </c>
      <c r="AH6" t="b">
        <f ca="1">IF(X6,IF(OR(Q6="",R6=""),FALSE,IF(INT(Q6&amp;ROUNDUP(TEXT(R6,"0.0"),0))&lt;=2,TRUE,FALSE)),TRUE)</f>
        <v>1</v>
      </c>
      <c r="AI6" t="b">
        <f ca="1">IF(AND(NOT(AR6),NOT(AS6),AE6&amp;AF6&amp;AG6&lt;&gt;"",AB6&lt;&gt;"-"),IF(Y6="ｍ",IF(INT(AB6)&lt;=INT(O6),TRUE,FALSE),IF(INT(AB6)&gt;=INT(O6),TRUE,FALSE)),FALSE)</f>
        <v>0</v>
      </c>
      <c r="AJ6" t="b">
        <f ca="1">IF(AND(NOT(AR6),NOT(AS6),AE6&amp;AF6&amp;AG6&lt;&gt;""),IF(Y6="ｍ",IF(INT(AC6)&lt;=INT(O6),TRUE,FALSE),IF(INT(AC6)&gt;=INT(O6),TRUE,FALSE)),FALSE)</f>
        <v>0</v>
      </c>
      <c r="AK6" t="b">
        <f>IF(F6&amp;G6&amp;M6&amp;O6&amp;Q6&amp;R6&amp;S6&amp;T6&lt;&gt;"",TRUE,FALSE)</f>
        <v>0</v>
      </c>
      <c r="AL6" t="b">
        <f>IF(AND(AK6,F6=""),TRUE,FALSE)</f>
        <v>0</v>
      </c>
      <c r="AM6" t="b">
        <f>IF(AND(AK6,F6&lt;&gt;"",ISNA(H6)),TRUE,FALSE)</f>
        <v>0</v>
      </c>
      <c r="AN6" t="b">
        <f t="shared" ref="AN6:AN11" si="3">IF(M6="",AK6,FALSE)</f>
        <v>0</v>
      </c>
      <c r="AO6" t="b">
        <v>0</v>
      </c>
      <c r="AP6" t="b">
        <f ca="1">IF(ISNA(X6),TRUE,FALSE)</f>
        <v>0</v>
      </c>
      <c r="AQ6" t="b">
        <f>IF(AND(AK6,O6=""),TRUE,FALSE)</f>
        <v>0</v>
      </c>
      <c r="AR6" t="b">
        <f>IF(ISNUMBER(O6),FALSE,AK6)</f>
        <v>0</v>
      </c>
      <c r="AS6" t="b">
        <f ca="1">IF(Y6="ｍ",FALSE,IF(LEN(O6)&gt;=AD6+2,IF(INT(LEFT(RIGHT(O6,AD6+2),2))&gt;=60,TRUE,FALSE),FALSE))</f>
        <v>0</v>
      </c>
      <c r="AT6" t="b">
        <f ca="1">IF(AND(NOT(AI6),NOT(AJ6)),AK6,FALSE)</f>
        <v>0</v>
      </c>
      <c r="AU6" t="b">
        <f ca="1">IF(AND(NOT(AJ6),NOT(AK6)),AL6,FALSE)</f>
        <v>0</v>
      </c>
      <c r="AV6" t="b">
        <f ca="1">IF(AND(X6,OR(R6="",Q6="")),TRUE,FALSE)</f>
        <v>0</v>
      </c>
      <c r="AW6" t="b">
        <f ca="1">NOT(AH6)</f>
        <v>0</v>
      </c>
      <c r="AX6" t="b">
        <f>IF(AND(AK6,S6=""),TRUE,FALSE)</f>
        <v>0</v>
      </c>
      <c r="AY6" t="b">
        <f>IF(AND(AK6,T6=""),TRUE,FALSE)</f>
        <v>0</v>
      </c>
      <c r="AZ6" t="b">
        <f>IF(ISERROR(DAY(T6)),TRUE,FALSE)</f>
        <v>0</v>
      </c>
      <c r="BA6" t="b">
        <f>IF(AND(設定!$B$2&lt;=T6,T6&lt;=設定!$B$3),FALSE,AK6)</f>
        <v>0</v>
      </c>
      <c r="BC6">
        <f t="shared" ref="BC6:BC60" ca="1" si="4">IF(AI6,10,IF(AJ6,1,0))</f>
        <v>0</v>
      </c>
      <c r="BD6">
        <f>ROW(BD6)-5</f>
        <v>1</v>
      </c>
      <c r="BE6" t="str">
        <f>IF(AND(V6="〇",G6="男"),F6&amp;G6,"")</f>
        <v/>
      </c>
      <c r="BF6">
        <f>IF(BE6="",0,1)</f>
        <v>0</v>
      </c>
      <c r="BG6" t="str">
        <f>BE6</f>
        <v/>
      </c>
      <c r="BH6" t="str">
        <f>IF(AND(V6="〇",G6="女"),F6&amp;G6,"")</f>
        <v/>
      </c>
      <c r="BI6">
        <f>IF(BH6="",0,1)</f>
        <v>0</v>
      </c>
      <c r="BJ6" t="str">
        <f>BH6</f>
        <v/>
      </c>
      <c r="BK6" t="str">
        <f>設定!D2</f>
        <v>100m</v>
      </c>
      <c r="BL6" t="str">
        <f>設定!K2</f>
        <v>100m</v>
      </c>
      <c r="BM6" t="s">
        <v>92</v>
      </c>
      <c r="BN6" t="s">
        <v>106</v>
      </c>
      <c r="BO6" t="s">
        <v>143</v>
      </c>
    </row>
    <row r="7" spans="1:67" ht="16.5" customHeight="1">
      <c r="A7" t="str">
        <f t="shared" ref="A7:A60" si="5">IF(V7="〇",F7&amp;G7,"")</f>
        <v/>
      </c>
      <c r="B7" t="str">
        <f t="shared" ref="B7:B34" si="6">IF(V7="〇",G7&amp;W7,"")</f>
        <v/>
      </c>
      <c r="C7">
        <f>IF(V7="〇",IF(AI7,10,IF(AJ7,1,0)),0)</f>
        <v>0</v>
      </c>
      <c r="D7" t="str">
        <f t="shared" ref="D7:D60" si="7">IF(V7="〇",F7&amp;G7&amp;W7,"")</f>
        <v/>
      </c>
      <c r="E7">
        <f>IF(B7="",0,LARGE($E$5:E6,1)+1)</f>
        <v>0</v>
      </c>
      <c r="F7" s="44"/>
      <c r="G7" s="45"/>
      <c r="H7" s="7" t="str">
        <f>IF(AND(F7="",G7=""),"",VLOOKUP(学校情報!$B$5&amp;F7&amp;G7,選手データ!$A:$H,4,FALSE))</f>
        <v/>
      </c>
      <c r="I7" s="7" t="str">
        <f>IF(AND(F7="",G7=""),"",VLOOKUP(学校情報!$B$5&amp;F7&amp;G7,選手データ!$A:$H,5,FALSE))</f>
        <v/>
      </c>
      <c r="J7" s="8" t="str">
        <f>IF(AND(F7="",G7=""),"",VLOOKUP(学校情報!$B$5&amp;F7&amp;G7,選手データ!$A:$H,6,FALSE))</f>
        <v/>
      </c>
      <c r="K7" s="32" t="str">
        <f>IF(AND(F7="",G7=""),"",VLOOKUP(学校情報!$B$5&amp;F7&amp;G7,選手データ!$A:$H,8,FALSE))</f>
        <v/>
      </c>
      <c r="L7" s="7" t="str">
        <f>IF(AND(F7="",G7=""),"",VLOOKUP(学校情報!$B$5&amp;F7&amp;G7,選手データ!$A:$I,9,FALSE))</f>
        <v/>
      </c>
      <c r="M7" s="44"/>
      <c r="N7" s="46"/>
      <c r="O7" s="47"/>
      <c r="P7" s="7" t="str">
        <f ca="1">AE7&amp;AF7&amp;AG7</f>
        <v/>
      </c>
      <c r="Q7" s="46"/>
      <c r="R7" s="48"/>
      <c r="S7" s="45"/>
      <c r="T7" s="49"/>
      <c r="U7" s="8" t="str">
        <f ca="1">IF(AI7,"A",IF(AJ7,"B",""))</f>
        <v/>
      </c>
      <c r="V7" s="8" t="str">
        <f>IF(AK7,IF(COUNTIF(AL7:BB7,TRUE)&gt;0,"×","〇"),"")</f>
        <v/>
      </c>
      <c r="W7" s="4">
        <f t="shared" ref="W7:W34" si="8">IF(ISNUMBER(FIND("(",M7)),LEFT(M7,FIND("(",M7)-1),M7)</f>
        <v>0</v>
      </c>
      <c r="X7" t="b">
        <f ca="1">IF(M7="",FALSE,VLOOKUP(M7,OFFSET(設定!$D$2:$I$25,0,AA7),2,FALSE))</f>
        <v>0</v>
      </c>
      <c r="Y7" t="str">
        <f ca="1">IF(M7="","",VLOOKUP(M7,OFFSET(設定!$D$2:$I$25,0,AA7),3,FALSE))</f>
        <v/>
      </c>
      <c r="Z7" t="b">
        <f ca="1">IF(M7="",FALSE,VLOOKUP(M7,OFFSET(設定!$D$2:$I$25,0,AA7),4,FALSE))</f>
        <v>0</v>
      </c>
      <c r="AA7">
        <f t="shared" ref="AA7:AA70" si="9">IF(G7="男",0,7)</f>
        <v>7</v>
      </c>
      <c r="AB7" s="1" t="str">
        <f ca="1">IF(M7="","",IF(AND(Z7,N7="〇"),IF(VLOOKUP(M7,OFFSET(設定!$D$2:$I$25,0,AA7),5,FALSE)="-","-",LEFT(VLOOKUP(M7,OFFSET(設定!$D$2:$I$25,0,AA7),5,FALSE),INT(LEN(VLOOKUP(M7,OFFSET(設定!$D$2:$I$25,0,AA7),5,FALSE))-1))),IF(VLOOKUP(M7,OFFSET(設定!$D$2:$I$25,0,AA7),5,FALSE)="-","-",INT(VLOOKUP(M7,OFFSET(設定!$D$2:$I$25,0,AA7),5,FALSE)))))</f>
        <v/>
      </c>
      <c r="AC7" s="1" t="str">
        <f ca="1">IF(M7="","",IF(AND(Z7,N7="〇"),IF(VLOOKUP(M7,OFFSET(設定!$D$2:$I$25,0,AA7),6,FALSE)="-","-",LEFT(VLOOKUP(M7,OFFSET(設定!$D$2:$I$25,0,AA7),6,FALSE),INT(LEN(VLOOKUP(M7,OFFSET(設定!$D$2:$I$25,0,AA7),6,FALSE))-1))),IF(VLOOKUP(M7,OFFSET(設定!$D$2:$I$25,0,AA7),6,FALSE)="-","-",INT(VLOOKUP(M7,OFFSET(設定!$D$2:$I$25,0,AA7),6,FALSE)))))</f>
        <v/>
      </c>
      <c r="AD7">
        <f t="shared" ref="AD7:AD70" si="10">IF(N7="〇",IF(AND(Z7=TRUE,Y7="ミリ秒"),1,2),2)</f>
        <v>2</v>
      </c>
      <c r="AE7" t="str">
        <f t="shared" ref="AE7:AE34" ca="1" si="11">IF(Y7="秒",IF(LEN(O7)&lt;=2,"",IF(LEN(O7)&gt;=3,LEFT(O7,LEN(O7)-2)&amp;"分"&amp;RIGHT(O7,2)&amp;"秒","")),"")</f>
        <v/>
      </c>
      <c r="AF7" t="str">
        <f ca="1">IF(Y7="ミリ秒",IF(LEN(O7)&gt;AD7,IF(LEN(O7)&lt;=AD7+2,LEFT(O7,LEN(O7)-AD7)&amp;"秒"&amp;RIGHT(O7,AD7),LEFT(O7,LEN(O7)-(AD7+2))&amp;"分"&amp;MID(O7,LEN(O7)-(AD7+2)+1,2)&amp;"秒"&amp;RIGHT(O7,AD7)),""),"")</f>
        <v/>
      </c>
      <c r="AG7" t="str">
        <f t="shared" ref="AG7:AG34" ca="1" si="12">IF(Y7="ｍ",IF(LEN(O7)&gt;=3,LEFT(O7,LEN(O7)-2)&amp;"ｍ"&amp;RIGHT(O7,2),""),"")</f>
        <v/>
      </c>
      <c r="AH7" t="b">
        <f t="shared" ref="AH7:AH34" ca="1" si="13">IF(X7,IF(OR(Q7="",R7=""),FALSE,IF(INT(Q7&amp;ROUNDUP(TEXT(R7,"0.0"),0))&lt;=2,TRUE,FALSE)),TRUE)</f>
        <v>1</v>
      </c>
      <c r="AI7" t="b">
        <f t="shared" ref="AI7:AI34" ca="1" si="14">IF(AND(NOT(AR7),NOT(AS7),AE7&amp;AF7&amp;AG7&lt;&gt;"",AB7&lt;&gt;"-"),IF(Y7="ｍ",IF(INT(AB7)&lt;=INT(O7),TRUE,FALSE),IF(INT(AB7)&gt;=INT(O7),TRUE,FALSE)),FALSE)</f>
        <v>0</v>
      </c>
      <c r="AJ7" t="b">
        <f t="shared" ref="AJ7:AJ34" ca="1" si="15">IF(AND(NOT(AR7),NOT(AS7),AE7&amp;AF7&amp;AG7&lt;&gt;""),IF(Y7="ｍ",IF(INT(AC7)&lt;=INT(O7),TRUE,FALSE),IF(INT(AC7)&gt;=INT(O7),TRUE,FALSE)),FALSE)</f>
        <v>0</v>
      </c>
      <c r="AK7" t="b">
        <f t="shared" ref="AK7:AK34" si="16">IF(F7&amp;G7&amp;M7&amp;O7&amp;Q7&amp;R7&amp;S7&amp;T7&lt;&gt;"",TRUE,FALSE)</f>
        <v>0</v>
      </c>
      <c r="AL7" t="b">
        <f t="shared" ref="AL7:AL34" si="17">IF(AND(AK7,F7=""),TRUE,FALSE)</f>
        <v>0</v>
      </c>
      <c r="AM7" t="b">
        <f t="shared" ref="AM7:AM34" si="18">IF(AND(AK7,F7&lt;&gt;"",ISNA(H7)),TRUE,FALSE)</f>
        <v>0</v>
      </c>
      <c r="AN7" t="b">
        <f t="shared" si="3"/>
        <v>0</v>
      </c>
      <c r="AO7" t="b">
        <f>IF(COUNTIF($D$6:D6,F7&amp;G7&amp;W7)&gt;0,AK7,FALSE)</f>
        <v>0</v>
      </c>
      <c r="AP7" t="b">
        <f t="shared" ref="AP7:AP70" ca="1" si="19">IF(ISNA(X7),TRUE,FALSE)</f>
        <v>0</v>
      </c>
      <c r="AQ7" t="b">
        <f t="shared" ref="AQ7:AQ34" si="20">IF(AND(AK7,O7=""),TRUE,FALSE)</f>
        <v>0</v>
      </c>
      <c r="AR7" t="b">
        <f>IF(ISNUMBER(O7),FALSE,AK7)</f>
        <v>0</v>
      </c>
      <c r="AS7" t="b">
        <f t="shared" ref="AS7:AS34" ca="1" si="21">IF(Y7="ｍ",FALSE,IF(LEN(O7)&gt;=AD7+2,IF(INT(LEFT(RIGHT(O7,AD7+2),2))&gt;=60,TRUE,FALSE),FALSE))</f>
        <v>0</v>
      </c>
      <c r="AT7" t="b">
        <f t="shared" ref="AT7:AT34" ca="1" si="22">IF(AND(NOT(AI7),NOT(AJ7)),AK7,FALSE)</f>
        <v>0</v>
      </c>
      <c r="AU7" t="b">
        <f ca="1">IF(AND(NOT(AJ7),NOT(AK7)),AL7,FALSE)</f>
        <v>0</v>
      </c>
      <c r="AV7" t="b">
        <f t="shared" ref="AV7:AV34" ca="1" si="23">IF(AND(X7,OR(R7="",Q7="")),TRUE,FALSE)</f>
        <v>0</v>
      </c>
      <c r="AW7" t="b">
        <f t="shared" ref="AW7:AW34" ca="1" si="24">NOT(AH7)</f>
        <v>0</v>
      </c>
      <c r="AX7" t="b">
        <f t="shared" ref="AX7:AX34" si="25">IF(AND(AK7,S7=""),TRUE,FALSE)</f>
        <v>0</v>
      </c>
      <c r="AY7" t="b">
        <f t="shared" ref="AY7:AY34" si="26">IF(AND(AK7,T7=""),TRUE,FALSE)</f>
        <v>0</v>
      </c>
      <c r="AZ7" t="b">
        <f t="shared" ref="AZ7:AZ34" si="27">IF(ISERROR(DAY(T7)),TRUE,FALSE)</f>
        <v>0</v>
      </c>
      <c r="BA7" t="b">
        <f>IF(AND(設定!$B$2&lt;=T7,T7&lt;=設定!$B$3),FALSE,AK7)</f>
        <v>0</v>
      </c>
      <c r="BC7">
        <f t="shared" ca="1" si="4"/>
        <v>0</v>
      </c>
      <c r="BD7">
        <f t="shared" ref="BD7:BD70" si="28">ROW(BD7)-5</f>
        <v>2</v>
      </c>
      <c r="BE7" t="str">
        <f t="shared" ref="BE7:BE61" si="29">IF(AND(V7="〇",G7="男"),F7&amp;G7,"")</f>
        <v/>
      </c>
      <c r="BF7">
        <f>IF(BG7&lt;&gt;"",MAX($BF$6:BF6)+1,0)</f>
        <v>0</v>
      </c>
      <c r="BG7" t="str">
        <f>IF(BE7&lt;&gt;"",IF(COUNTIF($BE$6:BE6,BE7)&gt;0,"",BE7),"")</f>
        <v/>
      </c>
      <c r="BH7" t="str">
        <f t="shared" ref="BH7:BH61" si="30">IF(AND(V7="〇",G7="女"),F7&amp;G7,"")</f>
        <v/>
      </c>
      <c r="BI7">
        <f>IF(BJ7&lt;&gt;"",MAX($BI$6:BI6)+1,0)</f>
        <v>0</v>
      </c>
      <c r="BJ7" t="str">
        <f>IF(BH7&lt;&gt;"",IF(COUNTIF($BE$6:BH6,BH7)&gt;0,"",BH7),"")</f>
        <v/>
      </c>
      <c r="BK7" t="str">
        <f>設定!D3</f>
        <v>200m</v>
      </c>
      <c r="BL7" t="str">
        <f>設定!K3</f>
        <v>200m</v>
      </c>
      <c r="BN7" t="s">
        <v>107</v>
      </c>
      <c r="BO7" t="s">
        <v>145</v>
      </c>
    </row>
    <row r="8" spans="1:67" ht="16.5" customHeight="1">
      <c r="A8" t="str">
        <f t="shared" si="5"/>
        <v/>
      </c>
      <c r="B8" t="str">
        <f t="shared" si="6"/>
        <v/>
      </c>
      <c r="C8">
        <f>IF(V8="〇",IF(AI8,10,IF(AJ8,1,0)),0)</f>
        <v>0</v>
      </c>
      <c r="D8" t="str">
        <f t="shared" si="7"/>
        <v/>
      </c>
      <c r="E8">
        <f>IF(B8="",0,LARGE($E$5:E7,1)+1)</f>
        <v>0</v>
      </c>
      <c r="F8" s="44"/>
      <c r="G8" s="45"/>
      <c r="H8" s="7" t="str">
        <f>IF(AND(F8="",G8=""),"",VLOOKUP(学校情報!$B$5&amp;F8&amp;G8,選手データ!$A:$H,4,FALSE))</f>
        <v/>
      </c>
      <c r="I8" s="7" t="str">
        <f>IF(AND(F8="",G8=""),"",VLOOKUP(学校情報!$B$5&amp;F8&amp;G8,選手データ!$A:$H,5,FALSE))</f>
        <v/>
      </c>
      <c r="J8" s="8" t="str">
        <f>IF(AND(F8="",G8=""),"",VLOOKUP(学校情報!$B$5&amp;F8&amp;G8,選手データ!$A:$H,6,FALSE))</f>
        <v/>
      </c>
      <c r="K8" s="32" t="str">
        <f>IF(AND(F8="",G8=""),"",VLOOKUP(学校情報!$B$5&amp;F8&amp;G8,選手データ!$A:$H,8,FALSE))</f>
        <v/>
      </c>
      <c r="L8" s="7" t="str">
        <f>IF(AND(F8="",G8=""),"",VLOOKUP(学校情報!$B$5&amp;F8&amp;G8,選手データ!$A:$I,9,FALSE))</f>
        <v/>
      </c>
      <c r="M8" s="44"/>
      <c r="N8" s="46"/>
      <c r="O8" s="47"/>
      <c r="P8" s="7" t="str">
        <f ca="1">AE8&amp;AF8&amp;AG8</f>
        <v/>
      </c>
      <c r="Q8" s="46"/>
      <c r="R8" s="48"/>
      <c r="S8" s="45"/>
      <c r="T8" s="49"/>
      <c r="U8" s="8" t="str">
        <f ca="1">IF(AI8,"A",IF(AJ8,"B",""))</f>
        <v/>
      </c>
      <c r="V8" s="8" t="str">
        <f>IF(AK8,IF(COUNTIF(AL8:BB8,TRUE)&gt;0,"×","〇"),"")</f>
        <v/>
      </c>
      <c r="W8" s="4">
        <f t="shared" si="8"/>
        <v>0</v>
      </c>
      <c r="X8" t="b">
        <f ca="1">IF(M8="",FALSE,VLOOKUP(M8,OFFSET(設定!$D$2:$I$25,0,AA8),2,FALSE))</f>
        <v>0</v>
      </c>
      <c r="Y8" t="str">
        <f ca="1">IF(M8="","",VLOOKUP(M8,OFFSET(設定!$D$2:$I$25,0,AA8),3,FALSE))</f>
        <v/>
      </c>
      <c r="Z8" t="b">
        <f ca="1">IF(M8="",FALSE,VLOOKUP(M8,OFFSET(設定!$D$2:$I$25,0,AA8),4,FALSE))</f>
        <v>0</v>
      </c>
      <c r="AA8">
        <f t="shared" si="9"/>
        <v>7</v>
      </c>
      <c r="AB8" s="1" t="str">
        <f ca="1">IF(M8="","",IF(AND(Z8,N8="〇"),IF(VLOOKUP(M8,OFFSET(設定!$D$2:$I$25,0,AA8),5,FALSE)="-","-",LEFT(VLOOKUP(M8,OFFSET(設定!$D$2:$I$25,0,AA8),5,FALSE),INT(LEN(VLOOKUP(M8,OFFSET(設定!$D$2:$I$25,0,AA8),5,FALSE))-1))),IF(VLOOKUP(M8,OFFSET(設定!$D$2:$I$25,0,AA8),5,FALSE)="-","-",INT(VLOOKUP(M8,OFFSET(設定!$D$2:$I$25,0,AA8),5,FALSE)))))</f>
        <v/>
      </c>
      <c r="AC8" s="1" t="str">
        <f ca="1">IF(M8="","",IF(AND(Z8,N8="〇"),IF(VLOOKUP(M8,OFFSET(設定!$D$2:$I$25,0,AA8),6,FALSE)="-","-",LEFT(VLOOKUP(M8,OFFSET(設定!$D$2:$I$25,0,AA8),6,FALSE),INT(LEN(VLOOKUP(M8,OFFSET(設定!$D$2:$I$25,0,AA8),6,FALSE))-1))),IF(VLOOKUP(M8,OFFSET(設定!$D$2:$I$25,0,AA8),6,FALSE)="-","-",INT(VLOOKUP(M8,OFFSET(設定!$D$2:$I$25,0,AA8),6,FALSE)))))</f>
        <v/>
      </c>
      <c r="AD8">
        <f t="shared" si="10"/>
        <v>2</v>
      </c>
      <c r="AE8" t="str">
        <f t="shared" ca="1" si="11"/>
        <v/>
      </c>
      <c r="AF8" t="str">
        <f t="shared" ref="AF8:AF34" ca="1" si="31">IF(Y8="ミリ秒",IF(LEN(O8)&gt;AD8,IF(LEN(O8)&lt;=AD8+2,LEFT(O8,LEN(O8)-AD8)&amp;"秒"&amp;RIGHT(O8,AD8),LEFT(O8,LEN(O8)-(AD8+2))&amp;"分"&amp;MID(O8,LEN(O8)-(AD8+2)+1,2)&amp;"秒"&amp;RIGHT(O8,AD8)),""),"")</f>
        <v/>
      </c>
      <c r="AG8" t="str">
        <f t="shared" ca="1" si="12"/>
        <v/>
      </c>
      <c r="AH8" t="b">
        <f t="shared" ca="1" si="13"/>
        <v>1</v>
      </c>
      <c r="AI8" t="b">
        <f t="shared" ca="1" si="14"/>
        <v>0</v>
      </c>
      <c r="AJ8" t="b">
        <f t="shared" ca="1" si="15"/>
        <v>0</v>
      </c>
      <c r="AK8" t="b">
        <f t="shared" si="16"/>
        <v>0</v>
      </c>
      <c r="AL8" t="b">
        <f t="shared" si="17"/>
        <v>0</v>
      </c>
      <c r="AM8" t="b">
        <f t="shared" si="18"/>
        <v>0</v>
      </c>
      <c r="AN8" t="b">
        <f t="shared" si="3"/>
        <v>0</v>
      </c>
      <c r="AO8" t="b">
        <f>IF(COUNTIF($D$6:D7,F8&amp;G8&amp;W8)&gt;0,AK8,FALSE)</f>
        <v>0</v>
      </c>
      <c r="AP8" t="b">
        <f t="shared" ca="1" si="19"/>
        <v>0</v>
      </c>
      <c r="AQ8" t="b">
        <f t="shared" si="20"/>
        <v>0</v>
      </c>
      <c r="AR8" t="b">
        <f t="shared" ref="AR8:AR34" si="32">IF(ISNUMBER(O8),FALSE,AK8)</f>
        <v>0</v>
      </c>
      <c r="AS8" t="b">
        <f t="shared" ca="1" si="21"/>
        <v>0</v>
      </c>
      <c r="AT8" t="b">
        <f t="shared" ca="1" si="22"/>
        <v>0</v>
      </c>
      <c r="AU8" t="b">
        <f ca="1">IF(COUNTIF(設定!$B$6:$B$11,SUMIF($B$6:B7,G8&amp;W8,$C$6:C7)+IF(AI8,10,IF(AJ8,1,0)))=1,FALSE,AK8)</f>
        <v>0</v>
      </c>
      <c r="AV8" t="b">
        <f t="shared" ca="1" si="23"/>
        <v>0</v>
      </c>
      <c r="AW8" t="b">
        <f t="shared" ca="1" si="24"/>
        <v>0</v>
      </c>
      <c r="AX8" t="b">
        <f t="shared" si="25"/>
        <v>0</v>
      </c>
      <c r="AY8" t="b">
        <f t="shared" si="26"/>
        <v>0</v>
      </c>
      <c r="AZ8" t="b">
        <f t="shared" si="27"/>
        <v>0</v>
      </c>
      <c r="BA8" t="b">
        <f>IF(AND(設定!$B$2&lt;=T8,T8&lt;=設定!$B$3),FALSE,AK8)</f>
        <v>0</v>
      </c>
      <c r="BC8">
        <f t="shared" ca="1" si="4"/>
        <v>0</v>
      </c>
      <c r="BD8">
        <f t="shared" si="28"/>
        <v>3</v>
      </c>
      <c r="BE8" t="str">
        <f t="shared" si="29"/>
        <v/>
      </c>
      <c r="BF8">
        <f>IF(BG8&lt;&gt;"",MAX($BF$6:BF7)+1,0)</f>
        <v>0</v>
      </c>
      <c r="BG8" t="str">
        <f>IF(BE8&lt;&gt;"",IF(COUNTIF($BE$6:BE7,BE8)&gt;0,"",BE8),"")</f>
        <v/>
      </c>
      <c r="BH8" t="str">
        <f t="shared" si="30"/>
        <v/>
      </c>
      <c r="BI8">
        <f>IF(BJ8&lt;&gt;"",MAX($BI$6:BI7)+1,0)</f>
        <v>0</v>
      </c>
      <c r="BJ8" t="str">
        <f>IF(BH8&lt;&gt;"",IF(COUNTIF($BE$6:BH7,BH8)&gt;0,"",BH8),"")</f>
        <v/>
      </c>
      <c r="BK8" t="str">
        <f>設定!D4</f>
        <v>400m</v>
      </c>
      <c r="BL8" t="str">
        <f>設定!K4</f>
        <v>400m</v>
      </c>
    </row>
    <row r="9" spans="1:67" ht="16.5" customHeight="1">
      <c r="A9" t="str">
        <f t="shared" si="5"/>
        <v/>
      </c>
      <c r="B9" t="str">
        <f t="shared" si="6"/>
        <v/>
      </c>
      <c r="C9">
        <f t="shared" ref="C9:C40" ca="1" si="33">IF(AI9,10,IF(AJ9,1,0))</f>
        <v>0</v>
      </c>
      <c r="D9" t="str">
        <f t="shared" si="7"/>
        <v/>
      </c>
      <c r="E9">
        <f>IF(B9="",0,LARGE($E$5:E8,1)+1)</f>
        <v>0</v>
      </c>
      <c r="F9" s="44"/>
      <c r="G9" s="45"/>
      <c r="H9" s="7" t="str">
        <f>IF(AND(F9="",G9=""),"",VLOOKUP(学校情報!$B$5&amp;F9&amp;G9,選手データ!$A:$H,4,FALSE))</f>
        <v/>
      </c>
      <c r="I9" s="7" t="str">
        <f>IF(AND(F9="",G9=""),"",VLOOKUP(学校情報!$B$5&amp;F9&amp;G9,選手データ!$A:$H,5,FALSE))</f>
        <v/>
      </c>
      <c r="J9" s="8" t="str">
        <f>IF(AND(F9="",G9=""),"",VLOOKUP(学校情報!$B$5&amp;F9&amp;G9,選手データ!$A:$H,6,FALSE))</f>
        <v/>
      </c>
      <c r="K9" s="32" t="str">
        <f>IF(AND(F9="",G9=""),"",VLOOKUP(学校情報!$B$5&amp;F9&amp;G9,選手データ!$A:$H,8,FALSE))</f>
        <v/>
      </c>
      <c r="L9" s="7" t="str">
        <f>IF(AND(F9="",G9=""),"",VLOOKUP(学校情報!$B$5&amp;F9&amp;G9,選手データ!$A:$I,9,FALSE))</f>
        <v/>
      </c>
      <c r="M9" s="44"/>
      <c r="N9" s="46"/>
      <c r="O9" s="47"/>
      <c r="P9" s="7" t="str">
        <f t="shared" ref="P9:P34" ca="1" si="34">AE9&amp;AF9&amp;AG9</f>
        <v/>
      </c>
      <c r="Q9" s="46"/>
      <c r="R9" s="48"/>
      <c r="S9" s="45"/>
      <c r="T9" s="49"/>
      <c r="U9" s="8" t="str">
        <f t="shared" ref="U9:U34" ca="1" si="35">IF(AI9,"A",IF(AJ9,"B",""))</f>
        <v/>
      </c>
      <c r="V9" s="8" t="str">
        <f t="shared" ref="V9:V34" si="36">IF(AK9,IF(COUNTIF(AL9:BB9,TRUE)&gt;0,"×","〇"),"")</f>
        <v/>
      </c>
      <c r="W9" s="4">
        <f t="shared" si="8"/>
        <v>0</v>
      </c>
      <c r="X9" t="b">
        <f ca="1">IF(M9="",FALSE,VLOOKUP(M9,OFFSET(設定!$D$2:$I$25,0,AA9),2,FALSE))</f>
        <v>0</v>
      </c>
      <c r="Y9" t="str">
        <f ca="1">IF(M9="","",VLOOKUP(M9,OFFSET(設定!$D$2:$I$25,0,AA9),3,FALSE))</f>
        <v/>
      </c>
      <c r="Z9" t="b">
        <f ca="1">IF(M9="",FALSE,VLOOKUP(M9,OFFSET(設定!$D$2:$I$25,0,AA9),4,FALSE))</f>
        <v>0</v>
      </c>
      <c r="AA9">
        <f t="shared" si="9"/>
        <v>7</v>
      </c>
      <c r="AB9" s="1" t="str">
        <f ca="1">IF(M9="","",IF(AND(Z9,N9="〇"),IF(VLOOKUP(M9,OFFSET(設定!$D$2:$I$25,0,AA9),5,FALSE)="-","-",LEFT(VLOOKUP(M9,OFFSET(設定!$D$2:$I$25,0,AA9),5,FALSE),INT(LEN(VLOOKUP(M9,OFFSET(設定!$D$2:$I$25,0,AA9),5,FALSE))-1))),IF(VLOOKUP(M9,OFFSET(設定!$D$2:$I$25,0,AA9),5,FALSE)="-","-",INT(VLOOKUP(M9,OFFSET(設定!$D$2:$I$25,0,AA9),5,FALSE)))))</f>
        <v/>
      </c>
      <c r="AC9" s="1" t="str">
        <f ca="1">IF(M9="","",IF(AND(Z9,N9="〇"),IF(VLOOKUP(M9,OFFSET(設定!$D$2:$I$25,0,AA9),6,FALSE)="-","-",LEFT(VLOOKUP(M9,OFFSET(設定!$D$2:$I$25,0,AA9),6,FALSE),INT(LEN(VLOOKUP(M9,OFFSET(設定!$D$2:$I$25,0,AA9),6,FALSE))-1))),IF(VLOOKUP(M9,OFFSET(設定!$D$2:$I$25,0,AA9),6,FALSE)="-","-",INT(VLOOKUP(M9,OFFSET(設定!$D$2:$I$25,0,AA9),6,FALSE)))))</f>
        <v/>
      </c>
      <c r="AD9">
        <f t="shared" si="10"/>
        <v>2</v>
      </c>
      <c r="AE9" t="str">
        <f t="shared" ca="1" si="11"/>
        <v/>
      </c>
      <c r="AF9" t="str">
        <f t="shared" ca="1" si="31"/>
        <v/>
      </c>
      <c r="AG9" t="str">
        <f t="shared" ca="1" si="12"/>
        <v/>
      </c>
      <c r="AH9" t="b">
        <f t="shared" ca="1" si="13"/>
        <v>1</v>
      </c>
      <c r="AI9" t="b">
        <f t="shared" ca="1" si="14"/>
        <v>0</v>
      </c>
      <c r="AJ9" t="b">
        <f t="shared" ca="1" si="15"/>
        <v>0</v>
      </c>
      <c r="AK9" t="b">
        <f t="shared" si="16"/>
        <v>0</v>
      </c>
      <c r="AL9" t="b">
        <f t="shared" si="17"/>
        <v>0</v>
      </c>
      <c r="AM9" t="b">
        <f t="shared" si="18"/>
        <v>0</v>
      </c>
      <c r="AN9" t="b">
        <f t="shared" si="3"/>
        <v>0</v>
      </c>
      <c r="AO9" t="b">
        <f>IF(COUNTIF($D$6:D8,F9&amp;G9&amp;W9)&gt;0,AK9,FALSE)</f>
        <v>0</v>
      </c>
      <c r="AP9" t="b">
        <f t="shared" ca="1" si="19"/>
        <v>0</v>
      </c>
      <c r="AQ9" t="b">
        <f t="shared" si="20"/>
        <v>0</v>
      </c>
      <c r="AR9" t="b">
        <f t="shared" si="32"/>
        <v>0</v>
      </c>
      <c r="AS9" t="b">
        <f t="shared" ca="1" si="21"/>
        <v>0</v>
      </c>
      <c r="AT9" t="b">
        <f t="shared" ca="1" si="22"/>
        <v>0</v>
      </c>
      <c r="AU9" t="b">
        <f ca="1">IF(COUNTIF(設定!$B$6:$B$11,SUMIF($B$6:B8,G9&amp;W9,$C$6:C8)+IF(AI9,10,IF(AJ9,1,0)))=1,FALSE,AK9)</f>
        <v>0</v>
      </c>
      <c r="AV9" t="b">
        <f t="shared" ca="1" si="23"/>
        <v>0</v>
      </c>
      <c r="AW9" t="b">
        <f t="shared" ca="1" si="24"/>
        <v>0</v>
      </c>
      <c r="AX9" t="b">
        <f t="shared" si="25"/>
        <v>0</v>
      </c>
      <c r="AY9" t="b">
        <f t="shared" si="26"/>
        <v>0</v>
      </c>
      <c r="AZ9" t="b">
        <f t="shared" si="27"/>
        <v>0</v>
      </c>
      <c r="BA9" t="b">
        <f>IF(AND(設定!$B$2&lt;=T9,T9&lt;=設定!$B$3),FALSE,AK9)</f>
        <v>0</v>
      </c>
      <c r="BC9">
        <f t="shared" ca="1" si="4"/>
        <v>0</v>
      </c>
      <c r="BD9">
        <f t="shared" si="28"/>
        <v>4</v>
      </c>
      <c r="BE9" t="str">
        <f t="shared" si="29"/>
        <v/>
      </c>
      <c r="BF9">
        <f>IF(BG9&lt;&gt;"",MAX($BF$6:BF8)+1,0)</f>
        <v>0</v>
      </c>
      <c r="BG9" t="str">
        <f>IF(BE9&lt;&gt;"",IF(COUNTIF($BE$6:BE8,BE9)&gt;0,"",BE9),"")</f>
        <v/>
      </c>
      <c r="BH9" t="str">
        <f t="shared" si="30"/>
        <v/>
      </c>
      <c r="BI9">
        <f>IF(BJ9&lt;&gt;"",MAX($BI$6:BI8)+1,0)</f>
        <v>0</v>
      </c>
      <c r="BJ9" t="str">
        <f>IF(BH9&lt;&gt;"",IF(COUNTIF($BE$6:BH8,BH9)&gt;0,"",BH9),"")</f>
        <v/>
      </c>
      <c r="BK9" t="str">
        <f>設定!D5</f>
        <v>800m</v>
      </c>
      <c r="BL9" t="str">
        <f>設定!K5</f>
        <v>800m</v>
      </c>
    </row>
    <row r="10" spans="1:67" ht="16.5" customHeight="1">
      <c r="A10" t="str">
        <f t="shared" si="5"/>
        <v/>
      </c>
      <c r="B10" t="str">
        <f t="shared" si="6"/>
        <v/>
      </c>
      <c r="C10">
        <f t="shared" ca="1" si="33"/>
        <v>0</v>
      </c>
      <c r="D10" t="str">
        <f t="shared" si="7"/>
        <v/>
      </c>
      <c r="E10">
        <f>IF(B10="",0,LARGE($E$5:E9,1)+1)</f>
        <v>0</v>
      </c>
      <c r="F10" s="44"/>
      <c r="G10" s="45"/>
      <c r="H10" s="7" t="str">
        <f>IF(AND(F10="",G10=""),"",VLOOKUP(学校情報!$B$5&amp;F10&amp;G10,選手データ!$A:$H,4,FALSE))</f>
        <v/>
      </c>
      <c r="I10" s="7" t="str">
        <f>IF(AND(F10="",G10=""),"",VLOOKUP(学校情報!$B$5&amp;F10&amp;G10,選手データ!$A:$H,5,FALSE))</f>
        <v/>
      </c>
      <c r="J10" s="8" t="str">
        <f>IF(AND(F10="",G10=""),"",VLOOKUP(学校情報!$B$5&amp;F10&amp;G10,選手データ!$A:$H,6,FALSE))</f>
        <v/>
      </c>
      <c r="K10" s="32" t="str">
        <f>IF(AND(F10="",G10=""),"",VLOOKUP(学校情報!$B$5&amp;F10&amp;G10,選手データ!$A:$H,8,FALSE))</f>
        <v/>
      </c>
      <c r="L10" s="7" t="str">
        <f>IF(AND(F10="",G10=""),"",VLOOKUP(学校情報!$B$5&amp;F10&amp;G10,選手データ!$A:$I,9,FALSE))</f>
        <v/>
      </c>
      <c r="M10" s="44"/>
      <c r="N10" s="46"/>
      <c r="O10" s="47"/>
      <c r="P10" s="7" t="str">
        <f t="shared" ca="1" si="34"/>
        <v/>
      </c>
      <c r="Q10" s="46"/>
      <c r="R10" s="48"/>
      <c r="S10" s="45"/>
      <c r="T10" s="49"/>
      <c r="U10" s="8" t="str">
        <f t="shared" ca="1" si="35"/>
        <v/>
      </c>
      <c r="V10" s="8" t="str">
        <f t="shared" si="36"/>
        <v/>
      </c>
      <c r="W10" s="4">
        <f t="shared" si="8"/>
        <v>0</v>
      </c>
      <c r="X10" t="b">
        <f ca="1">IF(M10="",FALSE,VLOOKUP(M10,OFFSET(設定!$D$2:$I$25,0,AA10),2,FALSE))</f>
        <v>0</v>
      </c>
      <c r="Y10" t="str">
        <f ca="1">IF(M10="","",VLOOKUP(M10,OFFSET(設定!$D$2:$I$25,0,AA10),3,FALSE))</f>
        <v/>
      </c>
      <c r="Z10" t="b">
        <f ca="1">IF(M10="",FALSE,VLOOKUP(M10,OFFSET(設定!$D$2:$I$25,0,AA10),4,FALSE))</f>
        <v>0</v>
      </c>
      <c r="AA10">
        <f t="shared" si="9"/>
        <v>7</v>
      </c>
      <c r="AB10" s="1" t="str">
        <f ca="1">IF(M10="","",IF(AND(Z10,N10="〇"),IF(VLOOKUP(M10,OFFSET(設定!$D$2:$I$25,0,AA10),5,FALSE)="-","-",LEFT(VLOOKUP(M10,OFFSET(設定!$D$2:$I$25,0,AA10),5,FALSE),INT(LEN(VLOOKUP(M10,OFFSET(設定!$D$2:$I$25,0,AA10),5,FALSE))-1))),IF(VLOOKUP(M10,OFFSET(設定!$D$2:$I$25,0,AA10),5,FALSE)="-","-",INT(VLOOKUP(M10,OFFSET(設定!$D$2:$I$25,0,AA10),5,FALSE)))))</f>
        <v/>
      </c>
      <c r="AC10" s="1" t="str">
        <f ca="1">IF(M10="","",IF(AND(Z10,N10="〇"),IF(VLOOKUP(M10,OFFSET(設定!$D$2:$I$25,0,AA10),6,FALSE)="-","-",LEFT(VLOOKUP(M10,OFFSET(設定!$D$2:$I$25,0,AA10),6,FALSE),INT(LEN(VLOOKUP(M10,OFFSET(設定!$D$2:$I$25,0,AA10),6,FALSE))-1))),IF(VLOOKUP(M10,OFFSET(設定!$D$2:$I$25,0,AA10),6,FALSE)="-","-",INT(VLOOKUP(M10,OFFSET(設定!$D$2:$I$25,0,AA10),6,FALSE)))))</f>
        <v/>
      </c>
      <c r="AD10">
        <f t="shared" si="10"/>
        <v>2</v>
      </c>
      <c r="AE10" t="str">
        <f t="shared" ca="1" si="11"/>
        <v/>
      </c>
      <c r="AF10" t="str">
        <f t="shared" ca="1" si="31"/>
        <v/>
      </c>
      <c r="AG10" t="str">
        <f t="shared" ca="1" si="12"/>
        <v/>
      </c>
      <c r="AH10" t="b">
        <f t="shared" ca="1" si="13"/>
        <v>1</v>
      </c>
      <c r="AI10" t="b">
        <f t="shared" ca="1" si="14"/>
        <v>0</v>
      </c>
      <c r="AJ10" t="b">
        <f t="shared" ca="1" si="15"/>
        <v>0</v>
      </c>
      <c r="AK10" t="b">
        <f t="shared" si="16"/>
        <v>0</v>
      </c>
      <c r="AL10" t="b">
        <f t="shared" si="17"/>
        <v>0</v>
      </c>
      <c r="AM10" t="b">
        <f t="shared" si="18"/>
        <v>0</v>
      </c>
      <c r="AN10" t="b">
        <f t="shared" si="3"/>
        <v>0</v>
      </c>
      <c r="AO10" t="b">
        <f>IF(COUNTIF($D$6:D9,F10&amp;G10&amp;W10)&gt;0,AK10,FALSE)</f>
        <v>0</v>
      </c>
      <c r="AP10" t="b">
        <f t="shared" ca="1" si="19"/>
        <v>0</v>
      </c>
      <c r="AQ10" t="b">
        <f t="shared" si="20"/>
        <v>0</v>
      </c>
      <c r="AR10" t="b">
        <f t="shared" si="32"/>
        <v>0</v>
      </c>
      <c r="AS10" t="b">
        <f t="shared" ca="1" si="21"/>
        <v>0</v>
      </c>
      <c r="AT10" t="b">
        <f t="shared" ca="1" si="22"/>
        <v>0</v>
      </c>
      <c r="AU10" t="b">
        <f ca="1">IF(COUNTIF(設定!$B$6:$B$11,SUMIF($B$6:B9,G10&amp;W10,$C$6:C9)+IF(AI10,10,IF(AJ10,1,0)))=1,FALSE,AK10)</f>
        <v>0</v>
      </c>
      <c r="AV10" t="b">
        <f t="shared" ca="1" si="23"/>
        <v>0</v>
      </c>
      <c r="AW10" t="b">
        <f t="shared" ca="1" si="24"/>
        <v>0</v>
      </c>
      <c r="AX10" t="b">
        <f t="shared" si="25"/>
        <v>0</v>
      </c>
      <c r="AY10" t="b">
        <f t="shared" si="26"/>
        <v>0</v>
      </c>
      <c r="AZ10" t="b">
        <f t="shared" si="27"/>
        <v>0</v>
      </c>
      <c r="BA10" t="b">
        <f>IF(AND(設定!$B$2&lt;=T10,T10&lt;=設定!$B$3),FALSE,AK10)</f>
        <v>0</v>
      </c>
      <c r="BC10">
        <f t="shared" ca="1" si="4"/>
        <v>0</v>
      </c>
      <c r="BD10">
        <f t="shared" si="28"/>
        <v>5</v>
      </c>
      <c r="BE10" t="str">
        <f t="shared" si="29"/>
        <v/>
      </c>
      <c r="BF10">
        <f>IF(BG10&lt;&gt;"",MAX($BF$6:BF9)+1,0)</f>
        <v>0</v>
      </c>
      <c r="BG10" t="str">
        <f>IF(BE10&lt;&gt;"",IF(COUNTIF($BE$6:BE9,BE10)&gt;0,"",BE10),"")</f>
        <v/>
      </c>
      <c r="BH10" t="str">
        <f t="shared" si="30"/>
        <v/>
      </c>
      <c r="BI10">
        <f>IF(BJ10&lt;&gt;"",MAX($BI$6:BI9)+1,0)</f>
        <v>0</v>
      </c>
      <c r="BJ10" t="str">
        <f>IF(BH10&lt;&gt;"",IF(COUNTIF($BE$6:BH9,BH10)&gt;0,"",BH10),"")</f>
        <v/>
      </c>
      <c r="BK10" t="str">
        <f>設定!D6</f>
        <v>1500m</v>
      </c>
      <c r="BL10" t="str">
        <f>設定!K6</f>
        <v>1500m</v>
      </c>
    </row>
    <row r="11" spans="1:67" ht="16.5" customHeight="1">
      <c r="A11" t="str">
        <f t="shared" si="5"/>
        <v/>
      </c>
      <c r="B11" t="str">
        <f t="shared" si="6"/>
        <v/>
      </c>
      <c r="C11">
        <f t="shared" ca="1" si="33"/>
        <v>0</v>
      </c>
      <c r="D11" t="str">
        <f t="shared" si="7"/>
        <v/>
      </c>
      <c r="E11">
        <f>IF(B11="",0,LARGE($E$5:E10,1)+1)</f>
        <v>0</v>
      </c>
      <c r="F11" s="44"/>
      <c r="G11" s="45"/>
      <c r="H11" s="7" t="str">
        <f>IF(AND(F11="",G11=""),"",VLOOKUP(学校情報!$B$5&amp;F11&amp;G11,選手データ!$A:$H,4,FALSE))</f>
        <v/>
      </c>
      <c r="I11" s="7" t="str">
        <f>IF(AND(F11="",G11=""),"",VLOOKUP(学校情報!$B$5&amp;F11&amp;G11,選手データ!$A:$H,5,FALSE))</f>
        <v/>
      </c>
      <c r="J11" s="8" t="str">
        <f>IF(AND(F11="",G11=""),"",VLOOKUP(学校情報!$B$5&amp;F11&amp;G11,選手データ!$A:$H,6,FALSE))</f>
        <v/>
      </c>
      <c r="K11" s="32" t="str">
        <f>IF(AND(F11="",G11=""),"",VLOOKUP(学校情報!$B$5&amp;F11&amp;G11,選手データ!$A:$H,8,FALSE))</f>
        <v/>
      </c>
      <c r="L11" s="7" t="str">
        <f>IF(AND(F11="",G11=""),"",VLOOKUP(学校情報!$B$5&amp;F11&amp;G11,選手データ!$A:$I,9,FALSE))</f>
        <v/>
      </c>
      <c r="M11" s="44"/>
      <c r="N11" s="46"/>
      <c r="O11" s="47"/>
      <c r="P11" s="7" t="str">
        <f t="shared" ca="1" si="34"/>
        <v/>
      </c>
      <c r="Q11" s="46"/>
      <c r="R11" s="48"/>
      <c r="S11" s="45"/>
      <c r="T11" s="49"/>
      <c r="U11" s="8" t="str">
        <f t="shared" ca="1" si="35"/>
        <v/>
      </c>
      <c r="V11" s="8" t="str">
        <f t="shared" si="36"/>
        <v/>
      </c>
      <c r="W11" s="4">
        <f t="shared" si="8"/>
        <v>0</v>
      </c>
      <c r="X11" t="b">
        <f ca="1">IF(M11="",FALSE,VLOOKUP(M11,OFFSET(設定!$D$2:$I$25,0,AA11),2,FALSE))</f>
        <v>0</v>
      </c>
      <c r="Y11" t="str">
        <f ca="1">IF(M11="","",VLOOKUP(M11,OFFSET(設定!$D$2:$I$25,0,AA11),3,FALSE))</f>
        <v/>
      </c>
      <c r="Z11" t="b">
        <f ca="1">IF(M11="",FALSE,VLOOKUP(M11,OFFSET(設定!$D$2:$I$25,0,AA11),4,FALSE))</f>
        <v>0</v>
      </c>
      <c r="AA11">
        <f t="shared" si="9"/>
        <v>7</v>
      </c>
      <c r="AB11" s="1" t="str">
        <f ca="1">IF(M11="","",IF(AND(Z11,N11="〇"),IF(VLOOKUP(M11,OFFSET(設定!$D$2:$I$25,0,AA11),5,FALSE)="-","-",LEFT(VLOOKUP(M11,OFFSET(設定!$D$2:$I$25,0,AA11),5,FALSE),INT(LEN(VLOOKUP(M11,OFFSET(設定!$D$2:$I$25,0,AA11),5,FALSE))-1))),IF(VLOOKUP(M11,OFFSET(設定!$D$2:$I$25,0,AA11),5,FALSE)="-","-",INT(VLOOKUP(M11,OFFSET(設定!$D$2:$I$25,0,AA11),5,FALSE)))))</f>
        <v/>
      </c>
      <c r="AC11" s="1" t="str">
        <f ca="1">IF(M11="","",IF(AND(Z11,N11="〇"),IF(VLOOKUP(M11,OFFSET(設定!$D$2:$I$25,0,AA11),6,FALSE)="-","-",LEFT(VLOOKUP(M11,OFFSET(設定!$D$2:$I$25,0,AA11),6,FALSE),INT(LEN(VLOOKUP(M11,OFFSET(設定!$D$2:$I$25,0,AA11),6,FALSE))-1))),IF(VLOOKUP(M11,OFFSET(設定!$D$2:$I$25,0,AA11),6,FALSE)="-","-",INT(VLOOKUP(M11,OFFSET(設定!$D$2:$I$25,0,AA11),6,FALSE)))))</f>
        <v/>
      </c>
      <c r="AD11">
        <f t="shared" si="10"/>
        <v>2</v>
      </c>
      <c r="AE11" t="str">
        <f t="shared" ca="1" si="11"/>
        <v/>
      </c>
      <c r="AF11" t="str">
        <f t="shared" ca="1" si="31"/>
        <v/>
      </c>
      <c r="AG11" t="str">
        <f t="shared" ca="1" si="12"/>
        <v/>
      </c>
      <c r="AH11" t="b">
        <f t="shared" ca="1" si="13"/>
        <v>1</v>
      </c>
      <c r="AI11" t="b">
        <f t="shared" ca="1" si="14"/>
        <v>0</v>
      </c>
      <c r="AJ11" t="b">
        <f t="shared" ca="1" si="15"/>
        <v>0</v>
      </c>
      <c r="AK11" t="b">
        <f t="shared" si="16"/>
        <v>0</v>
      </c>
      <c r="AL11" t="b">
        <f t="shared" si="17"/>
        <v>0</v>
      </c>
      <c r="AM11" t="b">
        <f t="shared" si="18"/>
        <v>0</v>
      </c>
      <c r="AN11" t="b">
        <f t="shared" si="3"/>
        <v>0</v>
      </c>
      <c r="AO11" t="b">
        <f>IF(COUNTIF($D$6:D10,F11&amp;G11&amp;W11)&gt;0,AK11,FALSE)</f>
        <v>0</v>
      </c>
      <c r="AP11" t="b">
        <f t="shared" ca="1" si="19"/>
        <v>0</v>
      </c>
      <c r="AQ11" t="b">
        <f t="shared" si="20"/>
        <v>0</v>
      </c>
      <c r="AR11" t="b">
        <f t="shared" si="32"/>
        <v>0</v>
      </c>
      <c r="AS11" t="b">
        <f t="shared" ca="1" si="21"/>
        <v>0</v>
      </c>
      <c r="AT11" t="b">
        <f t="shared" ca="1" si="22"/>
        <v>0</v>
      </c>
      <c r="AU11" t="b">
        <f ca="1">IF(COUNTIF(設定!$B$6:$B$11,SUMIF($B$6:B10,G11&amp;W11,$C$6:C10)+IF(AI11,10,IF(AJ11,1,0)))=1,FALSE,AK11)</f>
        <v>0</v>
      </c>
      <c r="AV11" t="b">
        <f t="shared" ca="1" si="23"/>
        <v>0</v>
      </c>
      <c r="AW11" t="b">
        <f t="shared" ca="1" si="24"/>
        <v>0</v>
      </c>
      <c r="AX11" t="b">
        <f t="shared" si="25"/>
        <v>0</v>
      </c>
      <c r="AY11" t="b">
        <f t="shared" si="26"/>
        <v>0</v>
      </c>
      <c r="AZ11" t="b">
        <f t="shared" si="27"/>
        <v>0</v>
      </c>
      <c r="BA11" t="b">
        <f>IF(AND(設定!$B$2&lt;=T11,T11&lt;=設定!$B$3),FALSE,AK11)</f>
        <v>0</v>
      </c>
      <c r="BC11">
        <f t="shared" ca="1" si="4"/>
        <v>0</v>
      </c>
      <c r="BD11">
        <f t="shared" si="28"/>
        <v>6</v>
      </c>
      <c r="BE11" t="str">
        <f t="shared" si="29"/>
        <v/>
      </c>
      <c r="BF11">
        <f>IF(BG11&lt;&gt;"",MAX($BF$6:BF10)+1,0)</f>
        <v>0</v>
      </c>
      <c r="BG11" t="str">
        <f>IF(BE11&lt;&gt;"",IF(COUNTIF($BE$6:BE10,BE11)&gt;0,"",BE11),"")</f>
        <v/>
      </c>
      <c r="BH11" t="str">
        <f t="shared" si="30"/>
        <v/>
      </c>
      <c r="BI11">
        <f>IF(BJ11&lt;&gt;"",MAX($BI$6:BI10)+1,0)</f>
        <v>0</v>
      </c>
      <c r="BJ11" t="str">
        <f>IF(BH11&lt;&gt;"",IF(COUNTIF($BE$6:BH10,BH11)&gt;0,"",BH11),"")</f>
        <v/>
      </c>
      <c r="BK11" t="str">
        <f>設定!D7</f>
        <v>5000m</v>
      </c>
      <c r="BL11" t="str">
        <f>設定!K7</f>
        <v>5000m</v>
      </c>
    </row>
    <row r="12" spans="1:67" ht="16.5" customHeight="1">
      <c r="A12" t="str">
        <f t="shared" si="5"/>
        <v/>
      </c>
      <c r="B12" t="str">
        <f t="shared" si="6"/>
        <v/>
      </c>
      <c r="C12">
        <f t="shared" ca="1" si="33"/>
        <v>0</v>
      </c>
      <c r="D12" t="str">
        <f t="shared" si="7"/>
        <v/>
      </c>
      <c r="E12">
        <f>IF(B12="",0,LARGE($E$5:E11,1)+1)</f>
        <v>0</v>
      </c>
      <c r="F12" s="44"/>
      <c r="G12" s="45"/>
      <c r="H12" s="7" t="str">
        <f>IF(AND(F12="",G12=""),"",VLOOKUP(学校情報!$B$5&amp;F12&amp;G12,選手データ!$A:$H,4,FALSE))</f>
        <v/>
      </c>
      <c r="I12" s="7" t="str">
        <f>IF(AND(F12="",G12=""),"",VLOOKUP(学校情報!$B$5&amp;F12&amp;G12,選手データ!$A:$H,5,FALSE))</f>
        <v/>
      </c>
      <c r="J12" s="8" t="str">
        <f>IF(AND(F12="",G12=""),"",VLOOKUP(学校情報!$B$5&amp;F12&amp;G12,選手データ!$A:$H,6,FALSE))</f>
        <v/>
      </c>
      <c r="K12" s="32" t="str">
        <f>IF(AND(F12="",G12=""),"",VLOOKUP(学校情報!$B$5&amp;F12&amp;G12,選手データ!$A:$H,8,FALSE))</f>
        <v/>
      </c>
      <c r="L12" s="7" t="str">
        <f>IF(AND(F12="",G12=""),"",VLOOKUP(学校情報!$B$5&amp;F12&amp;G12,選手データ!$A:$I,9,FALSE))</f>
        <v/>
      </c>
      <c r="M12" s="44"/>
      <c r="N12" s="46"/>
      <c r="O12" s="47"/>
      <c r="P12" s="7" t="str">
        <f t="shared" ca="1" si="34"/>
        <v/>
      </c>
      <c r="Q12" s="46"/>
      <c r="R12" s="48"/>
      <c r="S12" s="45"/>
      <c r="T12" s="49"/>
      <c r="U12" s="8" t="str">
        <f t="shared" ca="1" si="35"/>
        <v/>
      </c>
      <c r="V12" s="8" t="str">
        <f t="shared" si="36"/>
        <v/>
      </c>
      <c r="W12" s="4">
        <f t="shared" si="8"/>
        <v>0</v>
      </c>
      <c r="X12" t="b">
        <f ca="1">IF(M12="",FALSE,VLOOKUP(M12,OFFSET(設定!$D$2:$I$25,0,AA12),2,FALSE))</f>
        <v>0</v>
      </c>
      <c r="Y12" t="str">
        <f ca="1">IF(M12="","",VLOOKUP(M12,OFFSET(設定!$D$2:$I$25,0,AA12),3,FALSE))</f>
        <v/>
      </c>
      <c r="Z12" t="b">
        <f ca="1">IF(M12="",FALSE,VLOOKUP(M12,OFFSET(設定!$D$2:$I$25,0,AA12),4,FALSE))</f>
        <v>0</v>
      </c>
      <c r="AA12">
        <f t="shared" si="9"/>
        <v>7</v>
      </c>
      <c r="AB12" s="1" t="str">
        <f ca="1">IF(M12="","",IF(AND(Z12,N12="〇"),IF(VLOOKUP(M12,OFFSET(設定!$D$2:$I$25,0,AA12),5,FALSE)="-","-",LEFT(VLOOKUP(M12,OFFSET(設定!$D$2:$I$25,0,AA12),5,FALSE),INT(LEN(VLOOKUP(M12,OFFSET(設定!$D$2:$I$25,0,AA12),5,FALSE))-1))),IF(VLOOKUP(M12,OFFSET(設定!$D$2:$I$25,0,AA12),5,FALSE)="-","-",INT(VLOOKUP(M12,OFFSET(設定!$D$2:$I$25,0,AA12),5,FALSE)))))</f>
        <v/>
      </c>
      <c r="AC12" s="1" t="str">
        <f ca="1">IF(M12="","",IF(AND(Z12,N12="〇"),IF(VLOOKUP(M12,OFFSET(設定!$D$2:$I$25,0,AA12),6,FALSE)="-","-",LEFT(VLOOKUP(M12,OFFSET(設定!$D$2:$I$25,0,AA12),6,FALSE),INT(LEN(VLOOKUP(M12,OFFSET(設定!$D$2:$I$25,0,AA12),6,FALSE))-1))),IF(VLOOKUP(M12,OFFSET(設定!$D$2:$I$25,0,AA12),6,FALSE)="-","-",INT(VLOOKUP(M12,OFFSET(設定!$D$2:$I$25,0,AA12),6,FALSE)))))</f>
        <v/>
      </c>
      <c r="AD12">
        <f t="shared" si="10"/>
        <v>2</v>
      </c>
      <c r="AE12" t="str">
        <f t="shared" ca="1" si="11"/>
        <v/>
      </c>
      <c r="AF12" t="str">
        <f t="shared" ca="1" si="31"/>
        <v/>
      </c>
      <c r="AG12" t="str">
        <f t="shared" ca="1" si="12"/>
        <v/>
      </c>
      <c r="AH12" t="b">
        <f t="shared" ca="1" si="13"/>
        <v>1</v>
      </c>
      <c r="AI12" t="b">
        <f t="shared" ca="1" si="14"/>
        <v>0</v>
      </c>
      <c r="AJ12" t="b">
        <f t="shared" ca="1" si="15"/>
        <v>0</v>
      </c>
      <c r="AK12" t="b">
        <f t="shared" si="16"/>
        <v>0</v>
      </c>
      <c r="AL12" t="b">
        <f t="shared" si="17"/>
        <v>0</v>
      </c>
      <c r="AM12" t="b">
        <f t="shared" si="18"/>
        <v>0</v>
      </c>
      <c r="AN12" t="b">
        <f t="shared" ref="AN12:AN60" si="37">IF(M12="",AK12,FALSE)</f>
        <v>0</v>
      </c>
      <c r="AO12" t="b">
        <f>IF(COUNTIF($D$6:D11,F12&amp;G12&amp;W12)&gt;0,AK12,FALSE)</f>
        <v>0</v>
      </c>
      <c r="AP12" t="b">
        <f t="shared" ca="1" si="19"/>
        <v>0</v>
      </c>
      <c r="AQ12" t="b">
        <f t="shared" si="20"/>
        <v>0</v>
      </c>
      <c r="AR12" t="b">
        <f t="shared" si="32"/>
        <v>0</v>
      </c>
      <c r="AS12" t="b">
        <f t="shared" ca="1" si="21"/>
        <v>0</v>
      </c>
      <c r="AT12" t="b">
        <f t="shared" ca="1" si="22"/>
        <v>0</v>
      </c>
      <c r="AU12" t="b">
        <f ca="1">IF(COUNTIF(設定!$B$6:$B$11,SUMIF($B$6:B11,G12&amp;W12,$C$6:C11)+IF(AI12,10,IF(AJ12,1,0)))=1,FALSE,AK12)</f>
        <v>0</v>
      </c>
      <c r="AV12" t="b">
        <f t="shared" ca="1" si="23"/>
        <v>0</v>
      </c>
      <c r="AW12" t="b">
        <f t="shared" ca="1" si="24"/>
        <v>0</v>
      </c>
      <c r="AX12" t="b">
        <f t="shared" si="25"/>
        <v>0</v>
      </c>
      <c r="AY12" t="b">
        <f t="shared" si="26"/>
        <v>0</v>
      </c>
      <c r="AZ12" t="b">
        <f t="shared" si="27"/>
        <v>0</v>
      </c>
      <c r="BA12" t="b">
        <f>IF(AND(設定!$B$2&lt;=T12,T12&lt;=設定!$B$3),FALSE,AK12)</f>
        <v>0</v>
      </c>
      <c r="BC12">
        <f t="shared" ca="1" si="4"/>
        <v>0</v>
      </c>
      <c r="BD12">
        <f t="shared" si="28"/>
        <v>7</v>
      </c>
      <c r="BE12" t="str">
        <f t="shared" si="29"/>
        <v/>
      </c>
      <c r="BF12">
        <f>IF(BG12&lt;&gt;"",MAX($BF$6:BF11)+1,0)</f>
        <v>0</v>
      </c>
      <c r="BG12" t="str">
        <f>IF(BE12&lt;&gt;"",IF(COUNTIF($BE$6:BE11,BE12)&gt;0,"",BE12),"")</f>
        <v/>
      </c>
      <c r="BH12" t="str">
        <f t="shared" si="30"/>
        <v/>
      </c>
      <c r="BI12">
        <f>IF(BJ12&lt;&gt;"",MAX($BI$6:BI11)+1,0)</f>
        <v>0</v>
      </c>
      <c r="BJ12" t="str">
        <f>IF(BH12&lt;&gt;"",IF(COUNTIF($BE$6:BH11,BH12)&gt;0,"",BH12),"")</f>
        <v/>
      </c>
      <c r="BK12" t="str">
        <f>設定!D8</f>
        <v>10000m</v>
      </c>
      <c r="BL12" t="str">
        <f>設定!K8</f>
        <v>5000m(3000m)</v>
      </c>
    </row>
    <row r="13" spans="1:67" ht="16.5" customHeight="1">
      <c r="A13" t="str">
        <f t="shared" si="5"/>
        <v/>
      </c>
      <c r="B13" t="str">
        <f t="shared" si="6"/>
        <v/>
      </c>
      <c r="C13">
        <f t="shared" ca="1" si="33"/>
        <v>0</v>
      </c>
      <c r="D13" t="str">
        <f t="shared" si="7"/>
        <v/>
      </c>
      <c r="E13">
        <f>IF(B13="",0,LARGE($E$5:E12,1)+1)</f>
        <v>0</v>
      </c>
      <c r="F13" s="44"/>
      <c r="G13" s="45"/>
      <c r="H13" s="7" t="str">
        <f>IF(AND(F13="",G13=""),"",VLOOKUP(学校情報!$B$5&amp;F13&amp;G13,選手データ!$A:$H,4,FALSE))</f>
        <v/>
      </c>
      <c r="I13" s="7" t="str">
        <f>IF(AND(F13="",G13=""),"",VLOOKUP(学校情報!$B$5&amp;F13&amp;G13,選手データ!$A:$H,5,FALSE))</f>
        <v/>
      </c>
      <c r="J13" s="8" t="str">
        <f>IF(AND(F13="",G13=""),"",VLOOKUP(学校情報!$B$5&amp;F13&amp;G13,選手データ!$A:$H,6,FALSE))</f>
        <v/>
      </c>
      <c r="K13" s="32" t="str">
        <f>IF(AND(F13="",G13=""),"",VLOOKUP(学校情報!$B$5&amp;F13&amp;G13,選手データ!$A:$H,8,FALSE))</f>
        <v/>
      </c>
      <c r="L13" s="7" t="str">
        <f>IF(AND(F13="",G13=""),"",VLOOKUP(学校情報!$B$5&amp;F13&amp;G13,選手データ!$A:$I,9,FALSE))</f>
        <v/>
      </c>
      <c r="M13" s="44"/>
      <c r="N13" s="46"/>
      <c r="O13" s="47"/>
      <c r="P13" s="7" t="str">
        <f t="shared" ca="1" si="34"/>
        <v/>
      </c>
      <c r="Q13" s="46"/>
      <c r="R13" s="48"/>
      <c r="S13" s="45"/>
      <c r="T13" s="49"/>
      <c r="U13" s="8" t="str">
        <f t="shared" ca="1" si="35"/>
        <v/>
      </c>
      <c r="V13" s="8" t="str">
        <f t="shared" si="36"/>
        <v/>
      </c>
      <c r="W13" s="4">
        <f t="shared" si="8"/>
        <v>0</v>
      </c>
      <c r="X13" t="b">
        <f ca="1">IF(M13="",FALSE,VLOOKUP(M13,OFFSET(設定!$D$2:$I$25,0,AA13),2,FALSE))</f>
        <v>0</v>
      </c>
      <c r="Y13" t="str">
        <f ca="1">IF(M13="","",VLOOKUP(M13,OFFSET(設定!$D$2:$I$25,0,AA13),3,FALSE))</f>
        <v/>
      </c>
      <c r="Z13" t="b">
        <f ca="1">IF(M13="",FALSE,VLOOKUP(M13,OFFSET(設定!$D$2:$I$25,0,AA13),4,FALSE))</f>
        <v>0</v>
      </c>
      <c r="AA13">
        <f t="shared" si="9"/>
        <v>7</v>
      </c>
      <c r="AB13" s="1" t="str">
        <f ca="1">IF(M13="","",IF(AND(Z13,N13="〇"),IF(VLOOKUP(M13,OFFSET(設定!$D$2:$I$25,0,AA13),5,FALSE)="-","-",LEFT(VLOOKUP(M13,OFFSET(設定!$D$2:$I$25,0,AA13),5,FALSE),INT(LEN(VLOOKUP(M13,OFFSET(設定!$D$2:$I$25,0,AA13),5,FALSE))-1))),IF(VLOOKUP(M13,OFFSET(設定!$D$2:$I$25,0,AA13),5,FALSE)="-","-",INT(VLOOKUP(M13,OFFSET(設定!$D$2:$I$25,0,AA13),5,FALSE)))))</f>
        <v/>
      </c>
      <c r="AC13" s="1" t="str">
        <f ca="1">IF(M13="","",IF(AND(Z13,N13="〇"),IF(VLOOKUP(M13,OFFSET(設定!$D$2:$I$25,0,AA13),6,FALSE)="-","-",LEFT(VLOOKUP(M13,OFFSET(設定!$D$2:$I$25,0,AA13),6,FALSE),INT(LEN(VLOOKUP(M13,OFFSET(設定!$D$2:$I$25,0,AA13),6,FALSE))-1))),IF(VLOOKUP(M13,OFFSET(設定!$D$2:$I$25,0,AA13),6,FALSE)="-","-",INT(VLOOKUP(M13,OFFSET(設定!$D$2:$I$25,0,AA13),6,FALSE)))))</f>
        <v/>
      </c>
      <c r="AD13">
        <f t="shared" si="10"/>
        <v>2</v>
      </c>
      <c r="AE13" t="str">
        <f t="shared" ca="1" si="11"/>
        <v/>
      </c>
      <c r="AF13" t="str">
        <f t="shared" ca="1" si="31"/>
        <v/>
      </c>
      <c r="AG13" t="str">
        <f t="shared" ca="1" si="12"/>
        <v/>
      </c>
      <c r="AH13" t="b">
        <f t="shared" ca="1" si="13"/>
        <v>1</v>
      </c>
      <c r="AI13" t="b">
        <f t="shared" ca="1" si="14"/>
        <v>0</v>
      </c>
      <c r="AJ13" t="b">
        <f t="shared" ca="1" si="15"/>
        <v>0</v>
      </c>
      <c r="AK13" t="b">
        <f t="shared" si="16"/>
        <v>0</v>
      </c>
      <c r="AL13" t="b">
        <f t="shared" si="17"/>
        <v>0</v>
      </c>
      <c r="AM13" t="b">
        <f t="shared" si="18"/>
        <v>0</v>
      </c>
      <c r="AN13" t="b">
        <f t="shared" si="37"/>
        <v>0</v>
      </c>
      <c r="AO13" t="b">
        <f>IF(COUNTIF($D$6:D12,F13&amp;G13&amp;W13)&gt;0,AK13,FALSE)</f>
        <v>0</v>
      </c>
      <c r="AP13" t="b">
        <f t="shared" ca="1" si="19"/>
        <v>0</v>
      </c>
      <c r="AQ13" t="b">
        <f t="shared" si="20"/>
        <v>0</v>
      </c>
      <c r="AR13" t="b">
        <f t="shared" si="32"/>
        <v>0</v>
      </c>
      <c r="AS13" t="b">
        <f t="shared" ca="1" si="21"/>
        <v>0</v>
      </c>
      <c r="AT13" t="b">
        <f t="shared" ca="1" si="22"/>
        <v>0</v>
      </c>
      <c r="AU13" t="b">
        <f ca="1">IF(COUNTIF(設定!$B$6:$B$11,SUMIF($B$6:B12,G13&amp;W13,$C$6:C12)+IF(AI13,10,IF(AJ13,1,0)))=1,FALSE,AK13)</f>
        <v>0</v>
      </c>
      <c r="AV13" t="b">
        <f t="shared" ca="1" si="23"/>
        <v>0</v>
      </c>
      <c r="AW13" t="b">
        <f t="shared" ca="1" si="24"/>
        <v>0</v>
      </c>
      <c r="AX13" t="b">
        <f t="shared" si="25"/>
        <v>0</v>
      </c>
      <c r="AY13" t="b">
        <f t="shared" si="26"/>
        <v>0</v>
      </c>
      <c r="AZ13" t="b">
        <f t="shared" si="27"/>
        <v>0</v>
      </c>
      <c r="BA13" t="b">
        <f>IF(AND(設定!$B$2&lt;=T13,T13&lt;=設定!$B$3),FALSE,AK13)</f>
        <v>0</v>
      </c>
      <c r="BC13">
        <f t="shared" ca="1" si="4"/>
        <v>0</v>
      </c>
      <c r="BD13">
        <f t="shared" si="28"/>
        <v>8</v>
      </c>
      <c r="BE13" t="str">
        <f t="shared" si="29"/>
        <v/>
      </c>
      <c r="BF13">
        <f>IF(BG13&lt;&gt;"",MAX($BF$6:BF12)+1,0)</f>
        <v>0</v>
      </c>
      <c r="BG13" t="str">
        <f>IF(BE13&lt;&gt;"",IF(COUNTIF($BE$6:BE12,BE13)&gt;0,"",BE13),"")</f>
        <v/>
      </c>
      <c r="BH13" t="str">
        <f t="shared" si="30"/>
        <v/>
      </c>
      <c r="BI13">
        <f>IF(BJ13&lt;&gt;"",MAX($BI$6:BI12)+1,0)</f>
        <v>0</v>
      </c>
      <c r="BJ13" t="str">
        <f>IF(BH13&lt;&gt;"",IF(COUNTIF($BE$6:BH12,BH13)&gt;0,"",BH13),"")</f>
        <v/>
      </c>
      <c r="BK13" t="str">
        <f>設定!D9</f>
        <v>10000m(5000m)</v>
      </c>
      <c r="BL13" t="str">
        <f>設定!K9</f>
        <v>10000m</v>
      </c>
    </row>
    <row r="14" spans="1:67" ht="16.5" customHeight="1">
      <c r="A14" t="str">
        <f t="shared" si="5"/>
        <v/>
      </c>
      <c r="B14" t="str">
        <f t="shared" si="6"/>
        <v/>
      </c>
      <c r="C14">
        <f t="shared" ca="1" si="33"/>
        <v>0</v>
      </c>
      <c r="D14" t="str">
        <f t="shared" si="7"/>
        <v/>
      </c>
      <c r="E14">
        <f>IF(B14="",0,LARGE($E$5:E13,1)+1)</f>
        <v>0</v>
      </c>
      <c r="F14" s="44"/>
      <c r="G14" s="45"/>
      <c r="H14" s="7" t="str">
        <f>IF(AND(F14="",G14=""),"",VLOOKUP(学校情報!$B$5&amp;F14&amp;G14,選手データ!$A:$H,4,FALSE))</f>
        <v/>
      </c>
      <c r="I14" s="7" t="str">
        <f>IF(AND(F14="",G14=""),"",VLOOKUP(学校情報!$B$5&amp;F14&amp;G14,選手データ!$A:$H,5,FALSE))</f>
        <v/>
      </c>
      <c r="J14" s="8" t="str">
        <f>IF(AND(F14="",G14=""),"",VLOOKUP(学校情報!$B$5&amp;F14&amp;G14,選手データ!$A:$H,6,FALSE))</f>
        <v/>
      </c>
      <c r="K14" s="32" t="str">
        <f>IF(AND(F14="",G14=""),"",VLOOKUP(学校情報!$B$5&amp;F14&amp;G14,選手データ!$A:$H,8,FALSE))</f>
        <v/>
      </c>
      <c r="L14" s="7" t="str">
        <f>IF(AND(F14="",G14=""),"",VLOOKUP(学校情報!$B$5&amp;F14&amp;G14,選手データ!$A:$I,9,FALSE))</f>
        <v/>
      </c>
      <c r="M14" s="44"/>
      <c r="N14" s="46"/>
      <c r="O14" s="47"/>
      <c r="P14" s="7" t="str">
        <f t="shared" ca="1" si="34"/>
        <v/>
      </c>
      <c r="Q14" s="46"/>
      <c r="R14" s="48"/>
      <c r="S14" s="45"/>
      <c r="T14" s="49"/>
      <c r="U14" s="8" t="str">
        <f t="shared" ca="1" si="35"/>
        <v/>
      </c>
      <c r="V14" s="8" t="str">
        <f t="shared" si="36"/>
        <v/>
      </c>
      <c r="W14" s="4">
        <f t="shared" si="8"/>
        <v>0</v>
      </c>
      <c r="X14" t="b">
        <f ca="1">IF(M14="",FALSE,VLOOKUP(M14,OFFSET(設定!$D$2:$I$25,0,AA14),2,FALSE))</f>
        <v>0</v>
      </c>
      <c r="Y14" t="str">
        <f ca="1">IF(M14="","",VLOOKUP(M14,OFFSET(設定!$D$2:$I$25,0,AA14),3,FALSE))</f>
        <v/>
      </c>
      <c r="Z14" t="b">
        <f ca="1">IF(M14="",FALSE,VLOOKUP(M14,OFFSET(設定!$D$2:$I$25,0,AA14),4,FALSE))</f>
        <v>0</v>
      </c>
      <c r="AA14">
        <f t="shared" si="9"/>
        <v>7</v>
      </c>
      <c r="AB14" s="1" t="str">
        <f ca="1">IF(M14="","",IF(AND(Z14,N14="〇"),IF(VLOOKUP(M14,OFFSET(設定!$D$2:$I$25,0,AA14),5,FALSE)="-","-",LEFT(VLOOKUP(M14,OFFSET(設定!$D$2:$I$25,0,AA14),5,FALSE),INT(LEN(VLOOKUP(M14,OFFSET(設定!$D$2:$I$25,0,AA14),5,FALSE))-1))),IF(VLOOKUP(M14,OFFSET(設定!$D$2:$I$25,0,AA14),5,FALSE)="-","-",INT(VLOOKUP(M14,OFFSET(設定!$D$2:$I$25,0,AA14),5,FALSE)))))</f>
        <v/>
      </c>
      <c r="AC14" s="1" t="str">
        <f ca="1">IF(M14="","",IF(AND(Z14,N14="〇"),IF(VLOOKUP(M14,OFFSET(設定!$D$2:$I$25,0,AA14),6,FALSE)="-","-",LEFT(VLOOKUP(M14,OFFSET(設定!$D$2:$I$25,0,AA14),6,FALSE),INT(LEN(VLOOKUP(M14,OFFSET(設定!$D$2:$I$25,0,AA14),6,FALSE))-1))),IF(VLOOKUP(M14,OFFSET(設定!$D$2:$I$25,0,AA14),6,FALSE)="-","-",INT(VLOOKUP(M14,OFFSET(設定!$D$2:$I$25,0,AA14),6,FALSE)))))</f>
        <v/>
      </c>
      <c r="AD14">
        <f t="shared" si="10"/>
        <v>2</v>
      </c>
      <c r="AE14" t="str">
        <f t="shared" ca="1" si="11"/>
        <v/>
      </c>
      <c r="AF14" t="str">
        <f t="shared" ca="1" si="31"/>
        <v/>
      </c>
      <c r="AG14" t="str">
        <f t="shared" ca="1" si="12"/>
        <v/>
      </c>
      <c r="AH14" t="b">
        <f t="shared" ca="1" si="13"/>
        <v>1</v>
      </c>
      <c r="AI14" t="b">
        <f t="shared" ca="1" si="14"/>
        <v>0</v>
      </c>
      <c r="AJ14" t="b">
        <f t="shared" ca="1" si="15"/>
        <v>0</v>
      </c>
      <c r="AK14" t="b">
        <f t="shared" si="16"/>
        <v>0</v>
      </c>
      <c r="AL14" t="b">
        <f t="shared" si="17"/>
        <v>0</v>
      </c>
      <c r="AM14" t="b">
        <f t="shared" si="18"/>
        <v>0</v>
      </c>
      <c r="AN14" t="b">
        <f t="shared" si="37"/>
        <v>0</v>
      </c>
      <c r="AO14" t="b">
        <f>IF(COUNTIF($D$6:D13,F14&amp;G14&amp;W14)&gt;0,AK14,FALSE)</f>
        <v>0</v>
      </c>
      <c r="AP14" t="b">
        <f t="shared" ca="1" si="19"/>
        <v>0</v>
      </c>
      <c r="AQ14" t="b">
        <f t="shared" si="20"/>
        <v>0</v>
      </c>
      <c r="AR14" t="b">
        <f t="shared" si="32"/>
        <v>0</v>
      </c>
      <c r="AS14" t="b">
        <f t="shared" ca="1" si="21"/>
        <v>0</v>
      </c>
      <c r="AT14" t="b">
        <f t="shared" ca="1" si="22"/>
        <v>0</v>
      </c>
      <c r="AU14" t="b">
        <f ca="1">IF(COUNTIF(設定!$B$6:$B$11,SUMIF($B$6:B13,G14&amp;W14,$C$6:C13)+IF(AI14,10,IF(AJ14,1,0)))=1,FALSE,AK14)</f>
        <v>0</v>
      </c>
      <c r="AV14" t="b">
        <f t="shared" ca="1" si="23"/>
        <v>0</v>
      </c>
      <c r="AW14" t="b">
        <f t="shared" ca="1" si="24"/>
        <v>0</v>
      </c>
      <c r="AX14" t="b">
        <f t="shared" si="25"/>
        <v>0</v>
      </c>
      <c r="AY14" t="b">
        <f t="shared" si="26"/>
        <v>0</v>
      </c>
      <c r="AZ14" t="b">
        <f t="shared" si="27"/>
        <v>0</v>
      </c>
      <c r="BA14" t="b">
        <f>IF(AND(設定!$B$2&lt;=T14,T14&lt;=設定!$B$3),FALSE,AK14)</f>
        <v>0</v>
      </c>
      <c r="BC14">
        <f t="shared" ca="1" si="4"/>
        <v>0</v>
      </c>
      <c r="BD14">
        <f t="shared" si="28"/>
        <v>9</v>
      </c>
      <c r="BE14" t="str">
        <f t="shared" si="29"/>
        <v/>
      </c>
      <c r="BF14">
        <f>IF(BG14&lt;&gt;"",MAX($BF$6:BF13)+1,0)</f>
        <v>0</v>
      </c>
      <c r="BG14" t="str">
        <f>IF(BE14&lt;&gt;"",IF(COUNTIF($BE$6:BE13,BE14)&gt;0,"",BE14),"")</f>
        <v/>
      </c>
      <c r="BH14" t="str">
        <f t="shared" si="30"/>
        <v/>
      </c>
      <c r="BI14">
        <f>IF(BJ14&lt;&gt;"",MAX($BI$6:BI13)+1,0)</f>
        <v>0</v>
      </c>
      <c r="BJ14" t="str">
        <f>IF(BH14&lt;&gt;"",IF(COUNTIF($BE$6:BH13,BH14)&gt;0,"",BH14),"")</f>
        <v/>
      </c>
      <c r="BK14" t="str">
        <f>設定!D10</f>
        <v>110mH</v>
      </c>
      <c r="BL14" t="str">
        <f>設定!K10</f>
        <v>10000m(3000m)</v>
      </c>
    </row>
    <row r="15" spans="1:67" ht="16.5" customHeight="1">
      <c r="A15" t="str">
        <f t="shared" si="5"/>
        <v/>
      </c>
      <c r="B15" t="str">
        <f t="shared" si="6"/>
        <v/>
      </c>
      <c r="C15">
        <f t="shared" ca="1" si="33"/>
        <v>0</v>
      </c>
      <c r="D15" t="str">
        <f t="shared" si="7"/>
        <v/>
      </c>
      <c r="E15">
        <f>IF(B15="",0,LARGE($E$5:E14,1)+1)</f>
        <v>0</v>
      </c>
      <c r="F15" s="44"/>
      <c r="G15" s="45"/>
      <c r="H15" s="7" t="str">
        <f>IF(AND(F15="",G15=""),"",VLOOKUP(学校情報!$B$5&amp;F15&amp;G15,選手データ!$A:$H,4,FALSE))</f>
        <v/>
      </c>
      <c r="I15" s="7" t="str">
        <f>IF(AND(F15="",G15=""),"",VLOOKUP(学校情報!$B$5&amp;F15&amp;G15,選手データ!$A:$H,5,FALSE))</f>
        <v/>
      </c>
      <c r="J15" s="8" t="str">
        <f>IF(AND(F15="",G15=""),"",VLOOKUP(学校情報!$B$5&amp;F15&amp;G15,選手データ!$A:$H,6,FALSE))</f>
        <v/>
      </c>
      <c r="K15" s="32" t="str">
        <f>IF(AND(F15="",G15=""),"",VLOOKUP(学校情報!$B$5&amp;F15&amp;G15,選手データ!$A:$H,8,FALSE))</f>
        <v/>
      </c>
      <c r="L15" s="7" t="str">
        <f>IF(AND(F15="",G15=""),"",VLOOKUP(学校情報!$B$5&amp;F15&amp;G15,選手データ!$A:$I,9,FALSE))</f>
        <v/>
      </c>
      <c r="M15" s="44"/>
      <c r="N15" s="46"/>
      <c r="O15" s="47"/>
      <c r="P15" s="7" t="str">
        <f t="shared" ca="1" si="34"/>
        <v/>
      </c>
      <c r="Q15" s="46"/>
      <c r="R15" s="48"/>
      <c r="S15" s="45"/>
      <c r="T15" s="49"/>
      <c r="U15" s="8" t="str">
        <f t="shared" ca="1" si="35"/>
        <v/>
      </c>
      <c r="V15" s="8" t="str">
        <f t="shared" si="36"/>
        <v/>
      </c>
      <c r="W15" s="4">
        <f t="shared" si="8"/>
        <v>0</v>
      </c>
      <c r="X15" t="b">
        <f ca="1">IF(M15="",FALSE,VLOOKUP(M15,OFFSET(設定!$D$2:$I$25,0,AA15),2,FALSE))</f>
        <v>0</v>
      </c>
      <c r="Y15" t="str">
        <f ca="1">IF(M15="","",VLOOKUP(M15,OFFSET(設定!$D$2:$I$25,0,AA15),3,FALSE))</f>
        <v/>
      </c>
      <c r="Z15" t="b">
        <f ca="1">IF(M15="",FALSE,VLOOKUP(M15,OFFSET(設定!$D$2:$I$25,0,AA15),4,FALSE))</f>
        <v>0</v>
      </c>
      <c r="AA15">
        <f t="shared" si="9"/>
        <v>7</v>
      </c>
      <c r="AB15" s="1" t="str">
        <f ca="1">IF(M15="","",IF(AND(Z15,N15="〇"),IF(VLOOKUP(M15,OFFSET(設定!$D$2:$I$25,0,AA15),5,FALSE)="-","-",LEFT(VLOOKUP(M15,OFFSET(設定!$D$2:$I$25,0,AA15),5,FALSE),INT(LEN(VLOOKUP(M15,OFFSET(設定!$D$2:$I$25,0,AA15),5,FALSE))-1))),IF(VLOOKUP(M15,OFFSET(設定!$D$2:$I$25,0,AA15),5,FALSE)="-","-",INT(VLOOKUP(M15,OFFSET(設定!$D$2:$I$25,0,AA15),5,FALSE)))))</f>
        <v/>
      </c>
      <c r="AC15" s="1" t="str">
        <f ca="1">IF(M15="","",IF(AND(Z15,N15="〇"),IF(VLOOKUP(M15,OFFSET(設定!$D$2:$I$25,0,AA15),6,FALSE)="-","-",LEFT(VLOOKUP(M15,OFFSET(設定!$D$2:$I$25,0,AA15),6,FALSE),INT(LEN(VLOOKUP(M15,OFFSET(設定!$D$2:$I$25,0,AA15),6,FALSE))-1))),IF(VLOOKUP(M15,OFFSET(設定!$D$2:$I$25,0,AA15),6,FALSE)="-","-",INT(VLOOKUP(M15,OFFSET(設定!$D$2:$I$25,0,AA15),6,FALSE)))))</f>
        <v/>
      </c>
      <c r="AD15">
        <f t="shared" si="10"/>
        <v>2</v>
      </c>
      <c r="AE15" t="str">
        <f t="shared" ca="1" si="11"/>
        <v/>
      </c>
      <c r="AF15" t="str">
        <f t="shared" ca="1" si="31"/>
        <v/>
      </c>
      <c r="AG15" t="str">
        <f t="shared" ca="1" si="12"/>
        <v/>
      </c>
      <c r="AH15" t="b">
        <f t="shared" ca="1" si="13"/>
        <v>1</v>
      </c>
      <c r="AI15" t="b">
        <f t="shared" ca="1" si="14"/>
        <v>0</v>
      </c>
      <c r="AJ15" t="b">
        <f t="shared" ca="1" si="15"/>
        <v>0</v>
      </c>
      <c r="AK15" t="b">
        <f t="shared" si="16"/>
        <v>0</v>
      </c>
      <c r="AL15" t="b">
        <f t="shared" si="17"/>
        <v>0</v>
      </c>
      <c r="AM15" t="b">
        <f t="shared" si="18"/>
        <v>0</v>
      </c>
      <c r="AN15" t="b">
        <f t="shared" si="37"/>
        <v>0</v>
      </c>
      <c r="AO15" t="b">
        <f>IF(COUNTIF($D$6:D14,F15&amp;G15&amp;W15)&gt;0,AK15,FALSE)</f>
        <v>0</v>
      </c>
      <c r="AP15" t="b">
        <f t="shared" ca="1" si="19"/>
        <v>0</v>
      </c>
      <c r="AQ15" t="b">
        <f t="shared" si="20"/>
        <v>0</v>
      </c>
      <c r="AR15" t="b">
        <f t="shared" si="32"/>
        <v>0</v>
      </c>
      <c r="AS15" t="b">
        <f t="shared" ca="1" si="21"/>
        <v>0</v>
      </c>
      <c r="AT15" t="b">
        <f t="shared" ca="1" si="22"/>
        <v>0</v>
      </c>
      <c r="AU15" t="b">
        <f ca="1">IF(COUNTIF(設定!$B$6:$B$11,SUMIF($B$6:B14,G15&amp;W15,$C$6:C14)+IF(AI15,10,IF(AJ15,1,0)))=1,FALSE,AK15)</f>
        <v>0</v>
      </c>
      <c r="AV15" t="b">
        <f t="shared" ca="1" si="23"/>
        <v>0</v>
      </c>
      <c r="AW15" t="b">
        <f t="shared" ca="1" si="24"/>
        <v>0</v>
      </c>
      <c r="AX15" t="b">
        <f t="shared" si="25"/>
        <v>0</v>
      </c>
      <c r="AY15" t="b">
        <f t="shared" si="26"/>
        <v>0</v>
      </c>
      <c r="AZ15" t="b">
        <f t="shared" si="27"/>
        <v>0</v>
      </c>
      <c r="BA15" t="b">
        <f>IF(AND(設定!$B$2&lt;=T15,T15&lt;=設定!$B$3),FALSE,AK15)</f>
        <v>0</v>
      </c>
      <c r="BC15">
        <f t="shared" ca="1" si="4"/>
        <v>0</v>
      </c>
      <c r="BD15">
        <f t="shared" si="28"/>
        <v>10</v>
      </c>
      <c r="BE15" t="str">
        <f t="shared" si="29"/>
        <v/>
      </c>
      <c r="BF15">
        <f>IF(BG15&lt;&gt;"",MAX($BF$6:BF14)+1,0)</f>
        <v>0</v>
      </c>
      <c r="BG15" t="str">
        <f>IF(BE15&lt;&gt;"",IF(COUNTIF($BE$6:BE14,BE15)&gt;0,"",BE15),"")</f>
        <v/>
      </c>
      <c r="BH15" t="str">
        <f t="shared" si="30"/>
        <v/>
      </c>
      <c r="BI15">
        <f>IF(BJ15&lt;&gt;"",MAX($BI$6:BI14)+1,0)</f>
        <v>0</v>
      </c>
      <c r="BJ15" t="str">
        <f>IF(BH15&lt;&gt;"",IF(COUNTIF($BE$6:BH14,BH15)&gt;0,"",BH15),"")</f>
        <v/>
      </c>
      <c r="BK15" t="str">
        <f>設定!D11</f>
        <v>400mH</v>
      </c>
      <c r="BL15" t="str">
        <f>設定!K11</f>
        <v>10000m(5000m)</v>
      </c>
    </row>
    <row r="16" spans="1:67" ht="16.5" customHeight="1">
      <c r="A16" t="str">
        <f t="shared" si="5"/>
        <v/>
      </c>
      <c r="B16" t="str">
        <f t="shared" si="6"/>
        <v/>
      </c>
      <c r="C16">
        <f t="shared" ca="1" si="33"/>
        <v>0</v>
      </c>
      <c r="D16" t="str">
        <f t="shared" si="7"/>
        <v/>
      </c>
      <c r="E16">
        <f>IF(B16="",0,LARGE($E$5:E15,1)+1)</f>
        <v>0</v>
      </c>
      <c r="F16" s="44"/>
      <c r="G16" s="45"/>
      <c r="H16" s="7" t="str">
        <f>IF(AND(F16="",G16=""),"",VLOOKUP(学校情報!$B$5&amp;F16&amp;G16,選手データ!$A:$H,4,FALSE))</f>
        <v/>
      </c>
      <c r="I16" s="7" t="str">
        <f>IF(AND(F16="",G16=""),"",VLOOKUP(学校情報!$B$5&amp;F16&amp;G16,選手データ!$A:$H,5,FALSE))</f>
        <v/>
      </c>
      <c r="J16" s="8" t="str">
        <f>IF(AND(F16="",G16=""),"",VLOOKUP(学校情報!$B$5&amp;F16&amp;G16,選手データ!$A:$H,6,FALSE))</f>
        <v/>
      </c>
      <c r="K16" s="32" t="str">
        <f>IF(AND(F16="",G16=""),"",VLOOKUP(学校情報!$B$5&amp;F16&amp;G16,選手データ!$A:$H,8,FALSE))</f>
        <v/>
      </c>
      <c r="L16" s="7" t="str">
        <f>IF(AND(F16="",G16=""),"",VLOOKUP(学校情報!$B$5&amp;F16&amp;G16,選手データ!$A:$I,9,FALSE))</f>
        <v/>
      </c>
      <c r="M16" s="44"/>
      <c r="N16" s="46"/>
      <c r="O16" s="47"/>
      <c r="P16" s="7" t="str">
        <f t="shared" ca="1" si="34"/>
        <v/>
      </c>
      <c r="Q16" s="46"/>
      <c r="R16" s="48"/>
      <c r="S16" s="45"/>
      <c r="T16" s="49"/>
      <c r="U16" s="8" t="str">
        <f t="shared" ca="1" si="35"/>
        <v/>
      </c>
      <c r="V16" s="8" t="str">
        <f t="shared" si="36"/>
        <v/>
      </c>
      <c r="W16" s="4">
        <f t="shared" si="8"/>
        <v>0</v>
      </c>
      <c r="X16" t="b">
        <f ca="1">IF(M16="",FALSE,VLOOKUP(M16,OFFSET(設定!$D$2:$I$25,0,AA16),2,FALSE))</f>
        <v>0</v>
      </c>
      <c r="Y16" t="str">
        <f ca="1">IF(M16="","",VLOOKUP(M16,OFFSET(設定!$D$2:$I$25,0,AA16),3,FALSE))</f>
        <v/>
      </c>
      <c r="Z16" t="b">
        <f ca="1">IF(M16="",FALSE,VLOOKUP(M16,OFFSET(設定!$D$2:$I$25,0,AA16),4,FALSE))</f>
        <v>0</v>
      </c>
      <c r="AA16">
        <f t="shared" si="9"/>
        <v>7</v>
      </c>
      <c r="AB16" s="1" t="str">
        <f ca="1">IF(M16="","",IF(AND(Z16,N16="〇"),IF(VLOOKUP(M16,OFFSET(設定!$D$2:$I$25,0,AA16),5,FALSE)="-","-",LEFT(VLOOKUP(M16,OFFSET(設定!$D$2:$I$25,0,AA16),5,FALSE),INT(LEN(VLOOKUP(M16,OFFSET(設定!$D$2:$I$25,0,AA16),5,FALSE))-1))),IF(VLOOKUP(M16,OFFSET(設定!$D$2:$I$25,0,AA16),5,FALSE)="-","-",INT(VLOOKUP(M16,OFFSET(設定!$D$2:$I$25,0,AA16),5,FALSE)))))</f>
        <v/>
      </c>
      <c r="AC16" s="1" t="str">
        <f ca="1">IF(M16="","",IF(AND(Z16,N16="〇"),IF(VLOOKUP(M16,OFFSET(設定!$D$2:$I$25,0,AA16),6,FALSE)="-","-",LEFT(VLOOKUP(M16,OFFSET(設定!$D$2:$I$25,0,AA16),6,FALSE),INT(LEN(VLOOKUP(M16,OFFSET(設定!$D$2:$I$25,0,AA16),6,FALSE))-1))),IF(VLOOKUP(M16,OFFSET(設定!$D$2:$I$25,0,AA16),6,FALSE)="-","-",INT(VLOOKUP(M16,OFFSET(設定!$D$2:$I$25,0,AA16),6,FALSE)))))</f>
        <v/>
      </c>
      <c r="AD16">
        <f t="shared" si="10"/>
        <v>2</v>
      </c>
      <c r="AE16" t="str">
        <f t="shared" ca="1" si="11"/>
        <v/>
      </c>
      <c r="AF16" t="str">
        <f t="shared" ca="1" si="31"/>
        <v/>
      </c>
      <c r="AG16" t="str">
        <f t="shared" ca="1" si="12"/>
        <v/>
      </c>
      <c r="AH16" t="b">
        <f t="shared" ca="1" si="13"/>
        <v>1</v>
      </c>
      <c r="AI16" t="b">
        <f t="shared" ca="1" si="14"/>
        <v>0</v>
      </c>
      <c r="AJ16" t="b">
        <f t="shared" ca="1" si="15"/>
        <v>0</v>
      </c>
      <c r="AK16" t="b">
        <f t="shared" si="16"/>
        <v>0</v>
      </c>
      <c r="AL16" t="b">
        <f t="shared" si="17"/>
        <v>0</v>
      </c>
      <c r="AM16" t="b">
        <f t="shared" si="18"/>
        <v>0</v>
      </c>
      <c r="AN16" t="b">
        <f t="shared" si="37"/>
        <v>0</v>
      </c>
      <c r="AO16" t="b">
        <f>IF(COUNTIF($D$6:D15,F16&amp;G16&amp;W16)&gt;0,AK16,FALSE)</f>
        <v>0</v>
      </c>
      <c r="AP16" t="b">
        <f t="shared" ca="1" si="19"/>
        <v>0</v>
      </c>
      <c r="AQ16" t="b">
        <f t="shared" si="20"/>
        <v>0</v>
      </c>
      <c r="AR16" t="b">
        <f t="shared" si="32"/>
        <v>0</v>
      </c>
      <c r="AS16" t="b">
        <f t="shared" ca="1" si="21"/>
        <v>0</v>
      </c>
      <c r="AT16" t="b">
        <f t="shared" ca="1" si="22"/>
        <v>0</v>
      </c>
      <c r="AU16" t="b">
        <f ca="1">IF(COUNTIF(設定!$B$6:$B$11,SUMIF($B$6:B15,G16&amp;W16,$C$6:C15)+IF(AI16,10,IF(AJ16,1,0)))=1,FALSE,AK16)</f>
        <v>0</v>
      </c>
      <c r="AV16" t="b">
        <f t="shared" ca="1" si="23"/>
        <v>0</v>
      </c>
      <c r="AW16" t="b">
        <f t="shared" ca="1" si="24"/>
        <v>0</v>
      </c>
      <c r="AX16" t="b">
        <f t="shared" si="25"/>
        <v>0</v>
      </c>
      <c r="AY16" t="b">
        <f t="shared" si="26"/>
        <v>0</v>
      </c>
      <c r="AZ16" t="b">
        <f t="shared" si="27"/>
        <v>0</v>
      </c>
      <c r="BA16" t="b">
        <f>IF(AND(設定!$B$2&lt;=T16,T16&lt;=設定!$B$3),FALSE,AK16)</f>
        <v>0</v>
      </c>
      <c r="BC16">
        <f t="shared" ca="1" si="4"/>
        <v>0</v>
      </c>
      <c r="BD16">
        <f t="shared" si="28"/>
        <v>11</v>
      </c>
      <c r="BE16" t="str">
        <f t="shared" si="29"/>
        <v/>
      </c>
      <c r="BF16">
        <f>IF(BG16&lt;&gt;"",MAX($BF$6:BF15)+1,0)</f>
        <v>0</v>
      </c>
      <c r="BG16" t="str">
        <f>IF(BE16&lt;&gt;"",IF(COUNTIF($BE$6:BE15,BE16)&gt;0,"",BE16),"")</f>
        <v/>
      </c>
      <c r="BH16" t="str">
        <f t="shared" si="30"/>
        <v/>
      </c>
      <c r="BI16">
        <f>IF(BJ16&lt;&gt;"",MAX($BI$6:BI15)+1,0)</f>
        <v>0</v>
      </c>
      <c r="BJ16" t="str">
        <f>IF(BH16&lt;&gt;"",IF(COUNTIF($BE$6:BH15,BH16)&gt;0,"",BH16),"")</f>
        <v/>
      </c>
      <c r="BK16" t="str">
        <f>設定!D12</f>
        <v>3000mSC</v>
      </c>
      <c r="BL16" t="str">
        <f>設定!K12</f>
        <v>100mH</v>
      </c>
    </row>
    <row r="17" spans="1:64" ht="16.5" customHeight="1">
      <c r="A17" t="str">
        <f t="shared" si="5"/>
        <v/>
      </c>
      <c r="B17" t="str">
        <f t="shared" si="6"/>
        <v/>
      </c>
      <c r="C17">
        <f t="shared" ca="1" si="33"/>
        <v>0</v>
      </c>
      <c r="D17" t="str">
        <f t="shared" si="7"/>
        <v/>
      </c>
      <c r="E17">
        <f>IF(B17="",0,LARGE($E$5:E16,1)+1)</f>
        <v>0</v>
      </c>
      <c r="F17" s="44"/>
      <c r="G17" s="45"/>
      <c r="H17" s="7" t="str">
        <f>IF(AND(F17="",G17=""),"",VLOOKUP(学校情報!$B$5&amp;F17&amp;G17,選手データ!$A:$H,4,FALSE))</f>
        <v/>
      </c>
      <c r="I17" s="7" t="str">
        <f>IF(AND(F17="",G17=""),"",VLOOKUP(学校情報!$B$5&amp;F17&amp;G17,選手データ!$A:$H,5,FALSE))</f>
        <v/>
      </c>
      <c r="J17" s="8" t="str">
        <f>IF(AND(F17="",G17=""),"",VLOOKUP(学校情報!$B$5&amp;F17&amp;G17,選手データ!$A:$H,6,FALSE))</f>
        <v/>
      </c>
      <c r="K17" s="32" t="str">
        <f>IF(AND(F17="",G17=""),"",VLOOKUP(学校情報!$B$5&amp;F17&amp;G17,選手データ!$A:$H,8,FALSE))</f>
        <v/>
      </c>
      <c r="L17" s="7" t="str">
        <f>IF(AND(F17="",G17=""),"",VLOOKUP(学校情報!$B$5&amp;F17&amp;G17,選手データ!$A:$I,9,FALSE))</f>
        <v/>
      </c>
      <c r="M17" s="44"/>
      <c r="N17" s="46"/>
      <c r="O17" s="47"/>
      <c r="P17" s="7" t="str">
        <f t="shared" ca="1" si="34"/>
        <v/>
      </c>
      <c r="Q17" s="46"/>
      <c r="R17" s="48"/>
      <c r="S17" s="45"/>
      <c r="T17" s="49"/>
      <c r="U17" s="8" t="str">
        <f t="shared" ca="1" si="35"/>
        <v/>
      </c>
      <c r="V17" s="8" t="str">
        <f t="shared" si="36"/>
        <v/>
      </c>
      <c r="W17" s="4">
        <f t="shared" si="8"/>
        <v>0</v>
      </c>
      <c r="X17" t="b">
        <f ca="1">IF(M17="",FALSE,VLOOKUP(M17,OFFSET(設定!$D$2:$I$25,0,AA17),2,FALSE))</f>
        <v>0</v>
      </c>
      <c r="Y17" t="str">
        <f ca="1">IF(M17="","",VLOOKUP(M17,OFFSET(設定!$D$2:$I$25,0,AA17),3,FALSE))</f>
        <v/>
      </c>
      <c r="Z17" t="b">
        <f ca="1">IF(M17="",FALSE,VLOOKUP(M17,OFFSET(設定!$D$2:$I$25,0,AA17),4,FALSE))</f>
        <v>0</v>
      </c>
      <c r="AA17">
        <f t="shared" si="9"/>
        <v>7</v>
      </c>
      <c r="AB17" s="1" t="str">
        <f ca="1">IF(M17="","",IF(AND(Z17,N17="〇"),IF(VLOOKUP(M17,OFFSET(設定!$D$2:$I$25,0,AA17),5,FALSE)="-","-",LEFT(VLOOKUP(M17,OFFSET(設定!$D$2:$I$25,0,AA17),5,FALSE),INT(LEN(VLOOKUP(M17,OFFSET(設定!$D$2:$I$25,0,AA17),5,FALSE))-1))),IF(VLOOKUP(M17,OFFSET(設定!$D$2:$I$25,0,AA17),5,FALSE)="-","-",INT(VLOOKUP(M17,OFFSET(設定!$D$2:$I$25,0,AA17),5,FALSE)))))</f>
        <v/>
      </c>
      <c r="AC17" s="1" t="str">
        <f ca="1">IF(M17="","",IF(AND(Z17,N17="〇"),IF(VLOOKUP(M17,OFFSET(設定!$D$2:$I$25,0,AA17),6,FALSE)="-","-",LEFT(VLOOKUP(M17,OFFSET(設定!$D$2:$I$25,0,AA17),6,FALSE),INT(LEN(VLOOKUP(M17,OFFSET(設定!$D$2:$I$25,0,AA17),6,FALSE))-1))),IF(VLOOKUP(M17,OFFSET(設定!$D$2:$I$25,0,AA17),6,FALSE)="-","-",INT(VLOOKUP(M17,OFFSET(設定!$D$2:$I$25,0,AA17),6,FALSE)))))</f>
        <v/>
      </c>
      <c r="AD17">
        <f t="shared" si="10"/>
        <v>2</v>
      </c>
      <c r="AE17" t="str">
        <f t="shared" ca="1" si="11"/>
        <v/>
      </c>
      <c r="AF17" t="str">
        <f t="shared" ca="1" si="31"/>
        <v/>
      </c>
      <c r="AG17" t="str">
        <f t="shared" ca="1" si="12"/>
        <v/>
      </c>
      <c r="AH17" t="b">
        <f t="shared" ca="1" si="13"/>
        <v>1</v>
      </c>
      <c r="AI17" t="b">
        <f t="shared" ca="1" si="14"/>
        <v>0</v>
      </c>
      <c r="AJ17" t="b">
        <f t="shared" ca="1" si="15"/>
        <v>0</v>
      </c>
      <c r="AK17" t="b">
        <f t="shared" si="16"/>
        <v>0</v>
      </c>
      <c r="AL17" t="b">
        <f t="shared" si="17"/>
        <v>0</v>
      </c>
      <c r="AM17" t="b">
        <f t="shared" si="18"/>
        <v>0</v>
      </c>
      <c r="AN17" t="b">
        <f t="shared" si="37"/>
        <v>0</v>
      </c>
      <c r="AO17" t="b">
        <f>IF(COUNTIF($D$6:D16,F17&amp;G17&amp;W17)&gt;0,AK17,FALSE)</f>
        <v>0</v>
      </c>
      <c r="AP17" t="b">
        <f t="shared" ca="1" si="19"/>
        <v>0</v>
      </c>
      <c r="AQ17" t="b">
        <f t="shared" si="20"/>
        <v>0</v>
      </c>
      <c r="AR17" t="b">
        <f t="shared" si="32"/>
        <v>0</v>
      </c>
      <c r="AS17" t="b">
        <f t="shared" ca="1" si="21"/>
        <v>0</v>
      </c>
      <c r="AT17" t="b">
        <f t="shared" ca="1" si="22"/>
        <v>0</v>
      </c>
      <c r="AU17" t="b">
        <f ca="1">IF(COUNTIF(設定!$B$6:$B$11,SUMIF($B$6:B16,G17&amp;W17,$C$6:C16)+IF(AI17,10,IF(AJ17,1,0)))=1,FALSE,AK17)</f>
        <v>0</v>
      </c>
      <c r="AV17" t="b">
        <f t="shared" ca="1" si="23"/>
        <v>0</v>
      </c>
      <c r="AW17" t="b">
        <f t="shared" ca="1" si="24"/>
        <v>0</v>
      </c>
      <c r="AX17" t="b">
        <f t="shared" si="25"/>
        <v>0</v>
      </c>
      <c r="AY17" t="b">
        <f t="shared" si="26"/>
        <v>0</v>
      </c>
      <c r="AZ17" t="b">
        <f t="shared" si="27"/>
        <v>0</v>
      </c>
      <c r="BA17" t="b">
        <f>IF(AND(設定!$B$2&lt;=T17,T17&lt;=設定!$B$3),FALSE,AK17)</f>
        <v>0</v>
      </c>
      <c r="BC17">
        <f t="shared" ca="1" si="4"/>
        <v>0</v>
      </c>
      <c r="BD17">
        <f t="shared" si="28"/>
        <v>12</v>
      </c>
      <c r="BE17" t="str">
        <f t="shared" si="29"/>
        <v/>
      </c>
      <c r="BF17">
        <f>IF(BG17&lt;&gt;"",MAX($BF$6:BF16)+1,0)</f>
        <v>0</v>
      </c>
      <c r="BG17" t="str">
        <f>IF(BE17&lt;&gt;"",IF(COUNTIF($BE$6:BE16,BE17)&gt;0,"",BE17),"")</f>
        <v/>
      </c>
      <c r="BH17" t="str">
        <f t="shared" si="30"/>
        <v/>
      </c>
      <c r="BI17">
        <f>IF(BJ17&lt;&gt;"",MAX($BI$6:BI16)+1,0)</f>
        <v>0</v>
      </c>
      <c r="BJ17" t="str">
        <f>IF(BH17&lt;&gt;"",IF(COUNTIF($BE$6:BH16,BH17)&gt;0,"",BH17),"")</f>
        <v/>
      </c>
      <c r="BK17" t="str">
        <f>設定!D13</f>
        <v>10000mW</v>
      </c>
      <c r="BL17" t="str">
        <f>設定!K13</f>
        <v>400mH</v>
      </c>
    </row>
    <row r="18" spans="1:64" ht="16.5" customHeight="1">
      <c r="A18" t="str">
        <f t="shared" si="5"/>
        <v/>
      </c>
      <c r="B18" t="str">
        <f t="shared" si="6"/>
        <v/>
      </c>
      <c r="C18">
        <f t="shared" ca="1" si="33"/>
        <v>0</v>
      </c>
      <c r="D18" t="str">
        <f t="shared" si="7"/>
        <v/>
      </c>
      <c r="E18">
        <f>IF(B18="",0,LARGE($E$5:E17,1)+1)</f>
        <v>0</v>
      </c>
      <c r="F18" s="44"/>
      <c r="G18" s="45"/>
      <c r="H18" s="7" t="str">
        <f>IF(AND(F18="",G18=""),"",VLOOKUP(学校情報!$B$5&amp;F18&amp;G18,選手データ!$A:$H,4,FALSE))</f>
        <v/>
      </c>
      <c r="I18" s="7" t="str">
        <f>IF(AND(F18="",G18=""),"",VLOOKUP(学校情報!$B$5&amp;F18&amp;G18,選手データ!$A:$H,5,FALSE))</f>
        <v/>
      </c>
      <c r="J18" s="8" t="str">
        <f>IF(AND(F18="",G18=""),"",VLOOKUP(学校情報!$B$5&amp;F18&amp;G18,選手データ!$A:$H,6,FALSE))</f>
        <v/>
      </c>
      <c r="K18" s="32" t="str">
        <f>IF(AND(F18="",G18=""),"",VLOOKUP(学校情報!$B$5&amp;F18&amp;G18,選手データ!$A:$H,8,FALSE))</f>
        <v/>
      </c>
      <c r="L18" s="7" t="str">
        <f>IF(AND(F18="",G18=""),"",VLOOKUP(学校情報!$B$5&amp;F18&amp;G18,選手データ!$A:$I,9,FALSE))</f>
        <v/>
      </c>
      <c r="M18" s="44"/>
      <c r="N18" s="46"/>
      <c r="O18" s="47"/>
      <c r="P18" s="7" t="str">
        <f t="shared" ca="1" si="34"/>
        <v/>
      </c>
      <c r="Q18" s="46"/>
      <c r="R18" s="48"/>
      <c r="S18" s="45"/>
      <c r="T18" s="49"/>
      <c r="U18" s="8" t="str">
        <f t="shared" ca="1" si="35"/>
        <v/>
      </c>
      <c r="V18" s="8" t="str">
        <f t="shared" si="36"/>
        <v/>
      </c>
      <c r="W18" s="4">
        <f t="shared" si="8"/>
        <v>0</v>
      </c>
      <c r="X18" t="b">
        <f ca="1">IF(M18="",FALSE,VLOOKUP(M18,OFFSET(設定!$D$2:$I$25,0,AA18),2,FALSE))</f>
        <v>0</v>
      </c>
      <c r="Y18" t="str">
        <f ca="1">IF(M18="","",VLOOKUP(M18,OFFSET(設定!$D$2:$I$25,0,AA18),3,FALSE))</f>
        <v/>
      </c>
      <c r="Z18" t="b">
        <f ca="1">IF(M18="",FALSE,VLOOKUP(M18,OFFSET(設定!$D$2:$I$25,0,AA18),4,FALSE))</f>
        <v>0</v>
      </c>
      <c r="AA18">
        <f t="shared" si="9"/>
        <v>7</v>
      </c>
      <c r="AB18" s="1" t="str">
        <f ca="1">IF(M18="","",IF(AND(Z18,N18="〇"),IF(VLOOKUP(M18,OFFSET(設定!$D$2:$I$25,0,AA18),5,FALSE)="-","-",LEFT(VLOOKUP(M18,OFFSET(設定!$D$2:$I$25,0,AA18),5,FALSE),INT(LEN(VLOOKUP(M18,OFFSET(設定!$D$2:$I$25,0,AA18),5,FALSE))-1))),IF(VLOOKUP(M18,OFFSET(設定!$D$2:$I$25,0,AA18),5,FALSE)="-","-",INT(VLOOKUP(M18,OFFSET(設定!$D$2:$I$25,0,AA18),5,FALSE)))))</f>
        <v/>
      </c>
      <c r="AC18" s="1" t="str">
        <f ca="1">IF(M18="","",IF(AND(Z18,N18="〇"),IF(VLOOKUP(M18,OFFSET(設定!$D$2:$I$25,0,AA18),6,FALSE)="-","-",LEFT(VLOOKUP(M18,OFFSET(設定!$D$2:$I$25,0,AA18),6,FALSE),INT(LEN(VLOOKUP(M18,OFFSET(設定!$D$2:$I$25,0,AA18),6,FALSE))-1))),IF(VLOOKUP(M18,OFFSET(設定!$D$2:$I$25,0,AA18),6,FALSE)="-","-",INT(VLOOKUP(M18,OFFSET(設定!$D$2:$I$25,0,AA18),6,FALSE)))))</f>
        <v/>
      </c>
      <c r="AD18">
        <f t="shared" si="10"/>
        <v>2</v>
      </c>
      <c r="AE18" t="str">
        <f t="shared" ca="1" si="11"/>
        <v/>
      </c>
      <c r="AF18" t="str">
        <f t="shared" ca="1" si="31"/>
        <v/>
      </c>
      <c r="AG18" t="str">
        <f t="shared" ca="1" si="12"/>
        <v/>
      </c>
      <c r="AH18" t="b">
        <f t="shared" ca="1" si="13"/>
        <v>1</v>
      </c>
      <c r="AI18" t="b">
        <f t="shared" ca="1" si="14"/>
        <v>0</v>
      </c>
      <c r="AJ18" t="b">
        <f t="shared" ca="1" si="15"/>
        <v>0</v>
      </c>
      <c r="AK18" t="b">
        <f t="shared" si="16"/>
        <v>0</v>
      </c>
      <c r="AL18" t="b">
        <f t="shared" si="17"/>
        <v>0</v>
      </c>
      <c r="AM18" t="b">
        <f t="shared" si="18"/>
        <v>0</v>
      </c>
      <c r="AN18" t="b">
        <f t="shared" si="37"/>
        <v>0</v>
      </c>
      <c r="AO18" t="b">
        <f>IF(COUNTIF($D$6:D17,F18&amp;G18&amp;W18)&gt;0,AK18,FALSE)</f>
        <v>0</v>
      </c>
      <c r="AP18" t="b">
        <f t="shared" ca="1" si="19"/>
        <v>0</v>
      </c>
      <c r="AQ18" t="b">
        <f t="shared" si="20"/>
        <v>0</v>
      </c>
      <c r="AR18" t="b">
        <f t="shared" si="32"/>
        <v>0</v>
      </c>
      <c r="AS18" t="b">
        <f t="shared" ca="1" si="21"/>
        <v>0</v>
      </c>
      <c r="AT18" t="b">
        <f t="shared" ca="1" si="22"/>
        <v>0</v>
      </c>
      <c r="AU18" t="b">
        <f ca="1">IF(COUNTIF(設定!$B$6:$B$11,SUMIF($B$6:B17,G18&amp;W18,$C$6:C17)+IF(AI18,10,IF(AJ18,1,0)))=1,FALSE,AK18)</f>
        <v>0</v>
      </c>
      <c r="AV18" t="b">
        <f t="shared" ca="1" si="23"/>
        <v>0</v>
      </c>
      <c r="AW18" t="b">
        <f t="shared" ca="1" si="24"/>
        <v>0</v>
      </c>
      <c r="AX18" t="b">
        <f t="shared" si="25"/>
        <v>0</v>
      </c>
      <c r="AY18" t="b">
        <f t="shared" si="26"/>
        <v>0</v>
      </c>
      <c r="AZ18" t="b">
        <f t="shared" si="27"/>
        <v>0</v>
      </c>
      <c r="BA18" t="b">
        <f>IF(AND(設定!$B$2&lt;=T18,T18&lt;=設定!$B$3),FALSE,AK18)</f>
        <v>0</v>
      </c>
      <c r="BC18">
        <f t="shared" ca="1" si="4"/>
        <v>0</v>
      </c>
      <c r="BD18">
        <f t="shared" si="28"/>
        <v>13</v>
      </c>
      <c r="BE18" t="str">
        <f t="shared" si="29"/>
        <v/>
      </c>
      <c r="BF18">
        <f>IF(BG18&lt;&gt;"",MAX($BF$6:BF17)+1,0)</f>
        <v>0</v>
      </c>
      <c r="BG18" t="str">
        <f>IF(BE18&lt;&gt;"",IF(COUNTIF($BE$6:BE17,BE18)&gt;0,"",BE18),"")</f>
        <v/>
      </c>
      <c r="BH18" t="str">
        <f t="shared" si="30"/>
        <v/>
      </c>
      <c r="BI18">
        <f>IF(BJ18&lt;&gt;"",MAX($BI$6:BI17)+1,0)</f>
        <v>0</v>
      </c>
      <c r="BJ18" t="str">
        <f>IF(BH18&lt;&gt;"",IF(COUNTIF($BE$6:BH17,BH18)&gt;0,"",BH18),"")</f>
        <v/>
      </c>
      <c r="BK18" t="str">
        <f>設定!D14</f>
        <v>10000mW(5000mW)</v>
      </c>
      <c r="BL18" t="str">
        <f>設定!K14</f>
        <v>3000mSC</v>
      </c>
    </row>
    <row r="19" spans="1:64" ht="16.5" customHeight="1">
      <c r="A19" t="str">
        <f t="shared" si="5"/>
        <v/>
      </c>
      <c r="B19" t="str">
        <f t="shared" si="6"/>
        <v/>
      </c>
      <c r="C19">
        <f t="shared" ca="1" si="33"/>
        <v>0</v>
      </c>
      <c r="D19" t="str">
        <f t="shared" si="7"/>
        <v/>
      </c>
      <c r="E19">
        <f>IF(B19="",0,LARGE($E$5:E18,1)+1)</f>
        <v>0</v>
      </c>
      <c r="F19" s="44"/>
      <c r="G19" s="45"/>
      <c r="H19" s="7" t="str">
        <f>IF(AND(F19="",G19=""),"",VLOOKUP(学校情報!$B$5&amp;F19&amp;G19,選手データ!$A:$H,4,FALSE))</f>
        <v/>
      </c>
      <c r="I19" s="7" t="str">
        <f>IF(AND(F19="",G19=""),"",VLOOKUP(学校情報!$B$5&amp;F19&amp;G19,選手データ!$A:$H,5,FALSE))</f>
        <v/>
      </c>
      <c r="J19" s="8" t="str">
        <f>IF(AND(F19="",G19=""),"",VLOOKUP(学校情報!$B$5&amp;F19&amp;G19,選手データ!$A:$H,6,FALSE))</f>
        <v/>
      </c>
      <c r="K19" s="32" t="str">
        <f>IF(AND(F19="",G19=""),"",VLOOKUP(学校情報!$B$5&amp;F19&amp;G19,選手データ!$A:$H,8,FALSE))</f>
        <v/>
      </c>
      <c r="L19" s="7" t="str">
        <f>IF(AND(F19="",G19=""),"",VLOOKUP(学校情報!$B$5&amp;F19&amp;G19,選手データ!$A:$I,9,FALSE))</f>
        <v/>
      </c>
      <c r="M19" s="44"/>
      <c r="N19" s="46"/>
      <c r="O19" s="47"/>
      <c r="P19" s="7" t="str">
        <f t="shared" ca="1" si="34"/>
        <v/>
      </c>
      <c r="Q19" s="46"/>
      <c r="R19" s="48"/>
      <c r="S19" s="45"/>
      <c r="T19" s="49"/>
      <c r="U19" s="8" t="str">
        <f t="shared" ca="1" si="35"/>
        <v/>
      </c>
      <c r="V19" s="8" t="str">
        <f t="shared" si="36"/>
        <v/>
      </c>
      <c r="W19" s="4">
        <f t="shared" si="8"/>
        <v>0</v>
      </c>
      <c r="X19" t="b">
        <f ca="1">IF(M19="",FALSE,VLOOKUP(M19,OFFSET(設定!$D$2:$I$25,0,AA19),2,FALSE))</f>
        <v>0</v>
      </c>
      <c r="Y19" t="str">
        <f ca="1">IF(M19="","",VLOOKUP(M19,OFFSET(設定!$D$2:$I$25,0,AA19),3,FALSE))</f>
        <v/>
      </c>
      <c r="Z19" t="b">
        <f ca="1">IF(M19="",FALSE,VLOOKUP(M19,OFFSET(設定!$D$2:$I$25,0,AA19),4,FALSE))</f>
        <v>0</v>
      </c>
      <c r="AA19">
        <f t="shared" si="9"/>
        <v>7</v>
      </c>
      <c r="AB19" s="1" t="str">
        <f ca="1">IF(M19="","",IF(AND(Z19,N19="〇"),IF(VLOOKUP(M19,OFFSET(設定!$D$2:$I$25,0,AA19),5,FALSE)="-","-",LEFT(VLOOKUP(M19,OFFSET(設定!$D$2:$I$25,0,AA19),5,FALSE),INT(LEN(VLOOKUP(M19,OFFSET(設定!$D$2:$I$25,0,AA19),5,FALSE))-1))),IF(VLOOKUP(M19,OFFSET(設定!$D$2:$I$25,0,AA19),5,FALSE)="-","-",INT(VLOOKUP(M19,OFFSET(設定!$D$2:$I$25,0,AA19),5,FALSE)))))</f>
        <v/>
      </c>
      <c r="AC19" s="1" t="str">
        <f ca="1">IF(M19="","",IF(AND(Z19,N19="〇"),IF(VLOOKUP(M19,OFFSET(設定!$D$2:$I$25,0,AA19),6,FALSE)="-","-",LEFT(VLOOKUP(M19,OFFSET(設定!$D$2:$I$25,0,AA19),6,FALSE),INT(LEN(VLOOKUP(M19,OFFSET(設定!$D$2:$I$25,0,AA19),6,FALSE))-1))),IF(VLOOKUP(M19,OFFSET(設定!$D$2:$I$25,0,AA19),6,FALSE)="-","-",INT(VLOOKUP(M19,OFFSET(設定!$D$2:$I$25,0,AA19),6,FALSE)))))</f>
        <v/>
      </c>
      <c r="AD19">
        <f t="shared" si="10"/>
        <v>2</v>
      </c>
      <c r="AE19" t="str">
        <f t="shared" ca="1" si="11"/>
        <v/>
      </c>
      <c r="AF19" t="str">
        <f t="shared" ca="1" si="31"/>
        <v/>
      </c>
      <c r="AG19" t="str">
        <f t="shared" ca="1" si="12"/>
        <v/>
      </c>
      <c r="AH19" t="b">
        <f t="shared" ca="1" si="13"/>
        <v>1</v>
      </c>
      <c r="AI19" t="b">
        <f t="shared" ca="1" si="14"/>
        <v>0</v>
      </c>
      <c r="AJ19" t="b">
        <f t="shared" ca="1" si="15"/>
        <v>0</v>
      </c>
      <c r="AK19" t="b">
        <f t="shared" si="16"/>
        <v>0</v>
      </c>
      <c r="AL19" t="b">
        <f t="shared" si="17"/>
        <v>0</v>
      </c>
      <c r="AM19" t="b">
        <f t="shared" si="18"/>
        <v>0</v>
      </c>
      <c r="AN19" t="b">
        <f t="shared" si="37"/>
        <v>0</v>
      </c>
      <c r="AO19" t="b">
        <f>IF(COUNTIF($D$6:D18,F19&amp;G19&amp;W19)&gt;0,AK19,FALSE)</f>
        <v>0</v>
      </c>
      <c r="AP19" t="b">
        <f t="shared" ca="1" si="19"/>
        <v>0</v>
      </c>
      <c r="AQ19" t="b">
        <f t="shared" si="20"/>
        <v>0</v>
      </c>
      <c r="AR19" t="b">
        <f t="shared" si="32"/>
        <v>0</v>
      </c>
      <c r="AS19" t="b">
        <f t="shared" ca="1" si="21"/>
        <v>0</v>
      </c>
      <c r="AT19" t="b">
        <f t="shared" ca="1" si="22"/>
        <v>0</v>
      </c>
      <c r="AU19" t="b">
        <f ca="1">IF(COUNTIF(設定!$B$6:$B$11,SUMIF($B$6:B18,G19&amp;W19,$C$6:C18)+IF(AI19,10,IF(AJ19,1,0)))=1,FALSE,AK19)</f>
        <v>0</v>
      </c>
      <c r="AV19" t="b">
        <f t="shared" ca="1" si="23"/>
        <v>0</v>
      </c>
      <c r="AW19" t="b">
        <f t="shared" ca="1" si="24"/>
        <v>0</v>
      </c>
      <c r="AX19" t="b">
        <f t="shared" si="25"/>
        <v>0</v>
      </c>
      <c r="AY19" t="b">
        <f t="shared" si="26"/>
        <v>0</v>
      </c>
      <c r="AZ19" t="b">
        <f t="shared" si="27"/>
        <v>0</v>
      </c>
      <c r="BA19" t="b">
        <f>IF(AND(設定!$B$2&lt;=T19,T19&lt;=設定!$B$3),FALSE,AK19)</f>
        <v>0</v>
      </c>
      <c r="BC19">
        <f t="shared" ca="1" si="4"/>
        <v>0</v>
      </c>
      <c r="BD19">
        <f t="shared" si="28"/>
        <v>14</v>
      </c>
      <c r="BE19" t="str">
        <f t="shared" si="29"/>
        <v/>
      </c>
      <c r="BF19">
        <f>IF(BG19&lt;&gt;"",MAX($BF$6:BF18)+1,0)</f>
        <v>0</v>
      </c>
      <c r="BG19" t="str">
        <f>IF(BE19&lt;&gt;"",IF(COUNTIF($BE$6:BE18,BE19)&gt;0,"",BE19),"")</f>
        <v/>
      </c>
      <c r="BH19" t="str">
        <f t="shared" si="30"/>
        <v/>
      </c>
      <c r="BI19">
        <f>IF(BJ19&lt;&gt;"",MAX($BI$6:BI18)+1,0)</f>
        <v>0</v>
      </c>
      <c r="BJ19" t="str">
        <f>IF(BH19&lt;&gt;"",IF(COUNTIF($BE$6:BH18,BH19)&gt;0,"",BH19),"")</f>
        <v/>
      </c>
      <c r="BK19" t="str">
        <f>設定!D15</f>
        <v>10000mW(10kmW)</v>
      </c>
      <c r="BL19" t="str">
        <f>設定!K15</f>
        <v>10000mW</v>
      </c>
    </row>
    <row r="20" spans="1:64" ht="16.5" customHeight="1">
      <c r="A20" t="str">
        <f t="shared" si="5"/>
        <v/>
      </c>
      <c r="B20" t="str">
        <f t="shared" si="6"/>
        <v/>
      </c>
      <c r="C20">
        <f t="shared" ca="1" si="33"/>
        <v>0</v>
      </c>
      <c r="D20" t="str">
        <f t="shared" si="7"/>
        <v/>
      </c>
      <c r="E20">
        <f>IF(B20="",0,LARGE($E$5:E19,1)+1)</f>
        <v>0</v>
      </c>
      <c r="F20" s="44"/>
      <c r="G20" s="45"/>
      <c r="H20" s="7" t="str">
        <f>IF(AND(F20="",G20=""),"",VLOOKUP(学校情報!$B$5&amp;F20&amp;G20,選手データ!$A:$H,4,FALSE))</f>
        <v/>
      </c>
      <c r="I20" s="7" t="str">
        <f>IF(AND(F20="",G20=""),"",VLOOKUP(学校情報!$B$5&amp;F20&amp;G20,選手データ!$A:$H,5,FALSE))</f>
        <v/>
      </c>
      <c r="J20" s="8" t="str">
        <f>IF(AND(F20="",G20=""),"",VLOOKUP(学校情報!$B$5&amp;F20&amp;G20,選手データ!$A:$H,6,FALSE))</f>
        <v/>
      </c>
      <c r="K20" s="32" t="str">
        <f>IF(AND(F20="",G20=""),"",VLOOKUP(学校情報!$B$5&amp;F20&amp;G20,選手データ!$A:$H,8,FALSE))</f>
        <v/>
      </c>
      <c r="L20" s="7" t="str">
        <f>IF(AND(F20="",G20=""),"",VLOOKUP(学校情報!$B$5&amp;F20&amp;G20,選手データ!$A:$I,9,FALSE))</f>
        <v/>
      </c>
      <c r="M20" s="44"/>
      <c r="N20" s="46"/>
      <c r="O20" s="47"/>
      <c r="P20" s="7" t="str">
        <f t="shared" ca="1" si="34"/>
        <v/>
      </c>
      <c r="Q20" s="46"/>
      <c r="R20" s="48"/>
      <c r="S20" s="45"/>
      <c r="T20" s="49"/>
      <c r="U20" s="8" t="str">
        <f t="shared" ca="1" si="35"/>
        <v/>
      </c>
      <c r="V20" s="8" t="str">
        <f t="shared" si="36"/>
        <v/>
      </c>
      <c r="W20" s="4">
        <f t="shared" si="8"/>
        <v>0</v>
      </c>
      <c r="X20" t="b">
        <f ca="1">IF(M20="",FALSE,VLOOKUP(M20,OFFSET(設定!$D$2:$I$25,0,AA20),2,FALSE))</f>
        <v>0</v>
      </c>
      <c r="Y20" t="str">
        <f ca="1">IF(M20="","",VLOOKUP(M20,OFFSET(設定!$D$2:$I$25,0,AA20),3,FALSE))</f>
        <v/>
      </c>
      <c r="Z20" t="b">
        <f ca="1">IF(M20="",FALSE,VLOOKUP(M20,OFFSET(設定!$D$2:$I$25,0,AA20),4,FALSE))</f>
        <v>0</v>
      </c>
      <c r="AA20">
        <f t="shared" si="9"/>
        <v>7</v>
      </c>
      <c r="AB20" s="1" t="str">
        <f ca="1">IF(M20="","",IF(AND(Z20,N20="〇"),IF(VLOOKUP(M20,OFFSET(設定!$D$2:$I$25,0,AA20),5,FALSE)="-","-",LEFT(VLOOKUP(M20,OFFSET(設定!$D$2:$I$25,0,AA20),5,FALSE),INT(LEN(VLOOKUP(M20,OFFSET(設定!$D$2:$I$25,0,AA20),5,FALSE))-1))),IF(VLOOKUP(M20,OFFSET(設定!$D$2:$I$25,0,AA20),5,FALSE)="-","-",INT(VLOOKUP(M20,OFFSET(設定!$D$2:$I$25,0,AA20),5,FALSE)))))</f>
        <v/>
      </c>
      <c r="AC20" s="1" t="str">
        <f ca="1">IF(M20="","",IF(AND(Z20,N20="〇"),IF(VLOOKUP(M20,OFFSET(設定!$D$2:$I$25,0,AA20),6,FALSE)="-","-",LEFT(VLOOKUP(M20,OFFSET(設定!$D$2:$I$25,0,AA20),6,FALSE),INT(LEN(VLOOKUP(M20,OFFSET(設定!$D$2:$I$25,0,AA20),6,FALSE))-1))),IF(VLOOKUP(M20,OFFSET(設定!$D$2:$I$25,0,AA20),6,FALSE)="-","-",INT(VLOOKUP(M20,OFFSET(設定!$D$2:$I$25,0,AA20),6,FALSE)))))</f>
        <v/>
      </c>
      <c r="AD20">
        <f t="shared" si="10"/>
        <v>2</v>
      </c>
      <c r="AE20" t="str">
        <f t="shared" ca="1" si="11"/>
        <v/>
      </c>
      <c r="AF20" t="str">
        <f t="shared" ca="1" si="31"/>
        <v/>
      </c>
      <c r="AG20" t="str">
        <f t="shared" ca="1" si="12"/>
        <v/>
      </c>
      <c r="AH20" t="b">
        <f t="shared" ca="1" si="13"/>
        <v>1</v>
      </c>
      <c r="AI20" t="b">
        <f t="shared" ca="1" si="14"/>
        <v>0</v>
      </c>
      <c r="AJ20" t="b">
        <f t="shared" ca="1" si="15"/>
        <v>0</v>
      </c>
      <c r="AK20" t="b">
        <f t="shared" si="16"/>
        <v>0</v>
      </c>
      <c r="AL20" t="b">
        <f t="shared" si="17"/>
        <v>0</v>
      </c>
      <c r="AM20" t="b">
        <f t="shared" si="18"/>
        <v>0</v>
      </c>
      <c r="AN20" t="b">
        <f t="shared" si="37"/>
        <v>0</v>
      </c>
      <c r="AO20" t="b">
        <f>IF(COUNTIF($D$6:D19,F20&amp;G20&amp;W20)&gt;0,AK20,FALSE)</f>
        <v>0</v>
      </c>
      <c r="AP20" t="b">
        <f t="shared" ca="1" si="19"/>
        <v>0</v>
      </c>
      <c r="AQ20" t="b">
        <f t="shared" si="20"/>
        <v>0</v>
      </c>
      <c r="AR20" t="b">
        <f t="shared" si="32"/>
        <v>0</v>
      </c>
      <c r="AS20" t="b">
        <f t="shared" ca="1" si="21"/>
        <v>0</v>
      </c>
      <c r="AT20" t="b">
        <f t="shared" ca="1" si="22"/>
        <v>0</v>
      </c>
      <c r="AU20" t="b">
        <f ca="1">IF(COUNTIF(設定!$B$6:$B$11,SUMIF($B$6:B19,G20&amp;W20,$C$6:C19)+IF(AI20,10,IF(AJ20,1,0)))=1,FALSE,AK20)</f>
        <v>0</v>
      </c>
      <c r="AV20" t="b">
        <f t="shared" ca="1" si="23"/>
        <v>0</v>
      </c>
      <c r="AW20" t="b">
        <f t="shared" ca="1" si="24"/>
        <v>0</v>
      </c>
      <c r="AX20" t="b">
        <f t="shared" si="25"/>
        <v>0</v>
      </c>
      <c r="AY20" t="b">
        <f t="shared" si="26"/>
        <v>0</v>
      </c>
      <c r="AZ20" t="b">
        <f t="shared" si="27"/>
        <v>0</v>
      </c>
      <c r="BA20" t="b">
        <f>IF(AND(設定!$B$2&lt;=T20,T20&lt;=設定!$B$3),FALSE,AK20)</f>
        <v>0</v>
      </c>
      <c r="BC20">
        <f t="shared" ca="1" si="4"/>
        <v>0</v>
      </c>
      <c r="BD20">
        <f t="shared" si="28"/>
        <v>15</v>
      </c>
      <c r="BE20" t="str">
        <f t="shared" si="29"/>
        <v/>
      </c>
      <c r="BF20">
        <f>IF(BG20&lt;&gt;"",MAX($BF$6:BF19)+1,0)</f>
        <v>0</v>
      </c>
      <c r="BG20" t="str">
        <f>IF(BE20&lt;&gt;"",IF(COUNTIF($BE$6:BE19,BE20)&gt;0,"",BE20),"")</f>
        <v/>
      </c>
      <c r="BH20" t="str">
        <f t="shared" si="30"/>
        <v/>
      </c>
      <c r="BI20">
        <f>IF(BJ20&lt;&gt;"",MAX($BI$6:BI19)+1,0)</f>
        <v>0</v>
      </c>
      <c r="BJ20" t="str">
        <f>IF(BH20&lt;&gt;"",IF(COUNTIF($BE$6:BH19,BH20)&gt;0,"",BH20),"")</f>
        <v/>
      </c>
      <c r="BK20" t="str">
        <f>設定!D16</f>
        <v>走高跳</v>
      </c>
      <c r="BL20" t="str">
        <f>設定!K16</f>
        <v>10000mW(5000mW)</v>
      </c>
    </row>
    <row r="21" spans="1:64" ht="16.5" customHeight="1">
      <c r="A21" t="str">
        <f t="shared" si="5"/>
        <v/>
      </c>
      <c r="B21" t="str">
        <f t="shared" si="6"/>
        <v/>
      </c>
      <c r="C21">
        <f t="shared" ca="1" si="33"/>
        <v>0</v>
      </c>
      <c r="D21" t="str">
        <f t="shared" si="7"/>
        <v/>
      </c>
      <c r="E21">
        <f>IF(B21="",0,LARGE($E$5:E20,1)+1)</f>
        <v>0</v>
      </c>
      <c r="F21" s="44"/>
      <c r="G21" s="45"/>
      <c r="H21" s="7" t="str">
        <f>IF(AND(F21="",G21=""),"",VLOOKUP(学校情報!$B$5&amp;F21&amp;G21,選手データ!$A:$H,4,FALSE))</f>
        <v/>
      </c>
      <c r="I21" s="7" t="str">
        <f>IF(AND(F21="",G21=""),"",VLOOKUP(学校情報!$B$5&amp;F21&amp;G21,選手データ!$A:$H,5,FALSE))</f>
        <v/>
      </c>
      <c r="J21" s="8" t="str">
        <f>IF(AND(F21="",G21=""),"",VLOOKUP(学校情報!$B$5&amp;F21&amp;G21,選手データ!$A:$H,6,FALSE))</f>
        <v/>
      </c>
      <c r="K21" s="32" t="str">
        <f>IF(AND(F21="",G21=""),"",VLOOKUP(学校情報!$B$5&amp;F21&amp;G21,選手データ!$A:$H,8,FALSE))</f>
        <v/>
      </c>
      <c r="L21" s="7" t="str">
        <f>IF(AND(F21="",G21=""),"",VLOOKUP(学校情報!$B$5&amp;F21&amp;G21,選手データ!$A:$I,9,FALSE))</f>
        <v/>
      </c>
      <c r="M21" s="44"/>
      <c r="N21" s="46"/>
      <c r="O21" s="47"/>
      <c r="P21" s="7" t="str">
        <f t="shared" ca="1" si="34"/>
        <v/>
      </c>
      <c r="Q21" s="46"/>
      <c r="R21" s="48"/>
      <c r="S21" s="45"/>
      <c r="T21" s="49"/>
      <c r="U21" s="8" t="str">
        <f t="shared" ca="1" si="35"/>
        <v/>
      </c>
      <c r="V21" s="8" t="str">
        <f t="shared" si="36"/>
        <v/>
      </c>
      <c r="W21" s="4">
        <f t="shared" si="8"/>
        <v>0</v>
      </c>
      <c r="X21" t="b">
        <f ca="1">IF(M21="",FALSE,VLOOKUP(M21,OFFSET(設定!$D$2:$I$25,0,AA21),2,FALSE))</f>
        <v>0</v>
      </c>
      <c r="Y21" t="str">
        <f ca="1">IF(M21="","",VLOOKUP(M21,OFFSET(設定!$D$2:$I$25,0,AA21),3,FALSE))</f>
        <v/>
      </c>
      <c r="Z21" t="b">
        <f ca="1">IF(M21="",FALSE,VLOOKUP(M21,OFFSET(設定!$D$2:$I$25,0,AA21),4,FALSE))</f>
        <v>0</v>
      </c>
      <c r="AA21">
        <f t="shared" si="9"/>
        <v>7</v>
      </c>
      <c r="AB21" s="1" t="str">
        <f ca="1">IF(M21="","",IF(AND(Z21,N21="〇"),IF(VLOOKUP(M21,OFFSET(設定!$D$2:$I$25,0,AA21),5,FALSE)="-","-",LEFT(VLOOKUP(M21,OFFSET(設定!$D$2:$I$25,0,AA21),5,FALSE),INT(LEN(VLOOKUP(M21,OFFSET(設定!$D$2:$I$25,0,AA21),5,FALSE))-1))),IF(VLOOKUP(M21,OFFSET(設定!$D$2:$I$25,0,AA21),5,FALSE)="-","-",INT(VLOOKUP(M21,OFFSET(設定!$D$2:$I$25,0,AA21),5,FALSE)))))</f>
        <v/>
      </c>
      <c r="AC21" s="1" t="str">
        <f ca="1">IF(M21="","",IF(AND(Z21,N21="〇"),IF(VLOOKUP(M21,OFFSET(設定!$D$2:$I$25,0,AA21),6,FALSE)="-","-",LEFT(VLOOKUP(M21,OFFSET(設定!$D$2:$I$25,0,AA21),6,FALSE),INT(LEN(VLOOKUP(M21,OFFSET(設定!$D$2:$I$25,0,AA21),6,FALSE))-1))),IF(VLOOKUP(M21,OFFSET(設定!$D$2:$I$25,0,AA21),6,FALSE)="-","-",INT(VLOOKUP(M21,OFFSET(設定!$D$2:$I$25,0,AA21),6,FALSE)))))</f>
        <v/>
      </c>
      <c r="AD21">
        <f t="shared" si="10"/>
        <v>2</v>
      </c>
      <c r="AE21" t="str">
        <f t="shared" ca="1" si="11"/>
        <v/>
      </c>
      <c r="AF21" t="str">
        <f t="shared" ca="1" si="31"/>
        <v/>
      </c>
      <c r="AG21" t="str">
        <f t="shared" ca="1" si="12"/>
        <v/>
      </c>
      <c r="AH21" t="b">
        <f t="shared" ca="1" si="13"/>
        <v>1</v>
      </c>
      <c r="AI21" t="b">
        <f t="shared" ca="1" si="14"/>
        <v>0</v>
      </c>
      <c r="AJ21" t="b">
        <f t="shared" ca="1" si="15"/>
        <v>0</v>
      </c>
      <c r="AK21" t="b">
        <f t="shared" si="16"/>
        <v>0</v>
      </c>
      <c r="AL21" t="b">
        <f t="shared" si="17"/>
        <v>0</v>
      </c>
      <c r="AM21" t="b">
        <f t="shared" si="18"/>
        <v>0</v>
      </c>
      <c r="AN21" t="b">
        <f t="shared" si="37"/>
        <v>0</v>
      </c>
      <c r="AO21" t="b">
        <f>IF(COUNTIF($D$6:D20,F21&amp;G21&amp;W21)&gt;0,AK21,FALSE)</f>
        <v>0</v>
      </c>
      <c r="AP21" t="b">
        <f t="shared" ca="1" si="19"/>
        <v>0</v>
      </c>
      <c r="AQ21" t="b">
        <f t="shared" si="20"/>
        <v>0</v>
      </c>
      <c r="AR21" t="b">
        <f t="shared" si="32"/>
        <v>0</v>
      </c>
      <c r="AS21" t="b">
        <f t="shared" ca="1" si="21"/>
        <v>0</v>
      </c>
      <c r="AT21" t="b">
        <f t="shared" ca="1" si="22"/>
        <v>0</v>
      </c>
      <c r="AU21" t="b">
        <f ca="1">IF(COUNTIF(設定!$B$6:$B$11,SUMIF($B$6:B20,G21&amp;W21,$C$6:C20)+IF(AI21,10,IF(AJ21,1,0)))=1,FALSE,AK21)</f>
        <v>0</v>
      </c>
      <c r="AV21" t="b">
        <f t="shared" ca="1" si="23"/>
        <v>0</v>
      </c>
      <c r="AW21" t="b">
        <f t="shared" ca="1" si="24"/>
        <v>0</v>
      </c>
      <c r="AX21" t="b">
        <f t="shared" si="25"/>
        <v>0</v>
      </c>
      <c r="AY21" t="b">
        <f t="shared" si="26"/>
        <v>0</v>
      </c>
      <c r="AZ21" t="b">
        <f t="shared" si="27"/>
        <v>0</v>
      </c>
      <c r="BA21" t="b">
        <f>IF(AND(設定!$B$2&lt;=T21,T21&lt;=設定!$B$3),FALSE,AK21)</f>
        <v>0</v>
      </c>
      <c r="BC21">
        <f t="shared" ca="1" si="4"/>
        <v>0</v>
      </c>
      <c r="BD21">
        <f t="shared" si="28"/>
        <v>16</v>
      </c>
      <c r="BE21" t="str">
        <f t="shared" si="29"/>
        <v/>
      </c>
      <c r="BF21">
        <f>IF(BG21&lt;&gt;"",MAX($BF$6:BF20)+1,0)</f>
        <v>0</v>
      </c>
      <c r="BG21" t="str">
        <f>IF(BE21&lt;&gt;"",IF(COUNTIF($BE$6:BE20,BE21)&gt;0,"",BE21),"")</f>
        <v/>
      </c>
      <c r="BH21" t="str">
        <f t="shared" si="30"/>
        <v/>
      </c>
      <c r="BI21">
        <f>IF(BJ21&lt;&gt;"",MAX($BI$6:BI20)+1,0)</f>
        <v>0</v>
      </c>
      <c r="BJ21" t="str">
        <f>IF(BH21&lt;&gt;"",IF(COUNTIF($BE$6:BH20,BH21)&gt;0,"",BH21),"")</f>
        <v/>
      </c>
      <c r="BK21" t="str">
        <f>設定!D17</f>
        <v>棒高跳</v>
      </c>
      <c r="BL21" t="str">
        <f>設定!K17</f>
        <v>10000mW(10kmW)</v>
      </c>
    </row>
    <row r="22" spans="1:64" ht="16.5" customHeight="1">
      <c r="A22" t="str">
        <f t="shared" si="5"/>
        <v/>
      </c>
      <c r="B22" t="str">
        <f t="shared" si="6"/>
        <v/>
      </c>
      <c r="C22">
        <f t="shared" ca="1" si="33"/>
        <v>0</v>
      </c>
      <c r="D22" t="str">
        <f t="shared" si="7"/>
        <v/>
      </c>
      <c r="E22">
        <f>IF(B22="",0,LARGE($E$5:E21,1)+1)</f>
        <v>0</v>
      </c>
      <c r="F22" s="44"/>
      <c r="G22" s="45"/>
      <c r="H22" s="7" t="str">
        <f>IF(AND(F22="",G22=""),"",VLOOKUP(学校情報!$B$5&amp;F22&amp;G22,選手データ!$A:$H,4,FALSE))</f>
        <v/>
      </c>
      <c r="I22" s="7" t="str">
        <f>IF(AND(F22="",G22=""),"",VLOOKUP(学校情報!$B$5&amp;F22&amp;G22,選手データ!$A:$H,5,FALSE))</f>
        <v/>
      </c>
      <c r="J22" s="8" t="str">
        <f>IF(AND(F22="",G22=""),"",VLOOKUP(学校情報!$B$5&amp;F22&amp;G22,選手データ!$A:$H,6,FALSE))</f>
        <v/>
      </c>
      <c r="K22" s="32" t="str">
        <f>IF(AND(F22="",G22=""),"",VLOOKUP(学校情報!$B$5&amp;F22&amp;G22,選手データ!$A:$H,8,FALSE))</f>
        <v/>
      </c>
      <c r="L22" s="7" t="str">
        <f>IF(AND(F22="",G22=""),"",VLOOKUP(学校情報!$B$5&amp;F22&amp;G22,選手データ!$A:$I,9,FALSE))</f>
        <v/>
      </c>
      <c r="M22" s="44"/>
      <c r="N22" s="46"/>
      <c r="O22" s="47"/>
      <c r="P22" s="7" t="str">
        <f t="shared" ca="1" si="34"/>
        <v/>
      </c>
      <c r="Q22" s="46"/>
      <c r="R22" s="48"/>
      <c r="S22" s="45"/>
      <c r="T22" s="49"/>
      <c r="U22" s="8" t="str">
        <f t="shared" ca="1" si="35"/>
        <v/>
      </c>
      <c r="V22" s="8" t="str">
        <f t="shared" si="36"/>
        <v/>
      </c>
      <c r="W22" s="4">
        <f t="shared" si="8"/>
        <v>0</v>
      </c>
      <c r="X22" t="b">
        <f ca="1">IF(M22="",FALSE,VLOOKUP(M22,OFFSET(設定!$D$2:$I$25,0,AA22),2,FALSE))</f>
        <v>0</v>
      </c>
      <c r="Y22" t="str">
        <f ca="1">IF(M22="","",VLOOKUP(M22,OFFSET(設定!$D$2:$I$25,0,AA22),3,FALSE))</f>
        <v/>
      </c>
      <c r="Z22" t="b">
        <f ca="1">IF(M22="",FALSE,VLOOKUP(M22,OFFSET(設定!$D$2:$I$25,0,AA22),4,FALSE))</f>
        <v>0</v>
      </c>
      <c r="AA22">
        <f t="shared" si="9"/>
        <v>7</v>
      </c>
      <c r="AB22" s="1" t="str">
        <f ca="1">IF(M22="","",IF(AND(Z22,N22="〇"),IF(VLOOKUP(M22,OFFSET(設定!$D$2:$I$25,0,AA22),5,FALSE)="-","-",LEFT(VLOOKUP(M22,OFFSET(設定!$D$2:$I$25,0,AA22),5,FALSE),INT(LEN(VLOOKUP(M22,OFFSET(設定!$D$2:$I$25,0,AA22),5,FALSE))-1))),IF(VLOOKUP(M22,OFFSET(設定!$D$2:$I$25,0,AA22),5,FALSE)="-","-",INT(VLOOKUP(M22,OFFSET(設定!$D$2:$I$25,0,AA22),5,FALSE)))))</f>
        <v/>
      </c>
      <c r="AC22" s="1" t="str">
        <f ca="1">IF(M22="","",IF(AND(Z22,N22="〇"),IF(VLOOKUP(M22,OFFSET(設定!$D$2:$I$25,0,AA22),6,FALSE)="-","-",LEFT(VLOOKUP(M22,OFFSET(設定!$D$2:$I$25,0,AA22),6,FALSE),INT(LEN(VLOOKUP(M22,OFFSET(設定!$D$2:$I$25,0,AA22),6,FALSE))-1))),IF(VLOOKUP(M22,OFFSET(設定!$D$2:$I$25,0,AA22),6,FALSE)="-","-",INT(VLOOKUP(M22,OFFSET(設定!$D$2:$I$25,0,AA22),6,FALSE)))))</f>
        <v/>
      </c>
      <c r="AD22">
        <f t="shared" si="10"/>
        <v>2</v>
      </c>
      <c r="AE22" t="str">
        <f t="shared" ca="1" si="11"/>
        <v/>
      </c>
      <c r="AF22" t="str">
        <f t="shared" ca="1" si="31"/>
        <v/>
      </c>
      <c r="AG22" t="str">
        <f t="shared" ca="1" si="12"/>
        <v/>
      </c>
      <c r="AH22" t="b">
        <f t="shared" ca="1" si="13"/>
        <v>1</v>
      </c>
      <c r="AI22" t="b">
        <f t="shared" ca="1" si="14"/>
        <v>0</v>
      </c>
      <c r="AJ22" t="b">
        <f t="shared" ca="1" si="15"/>
        <v>0</v>
      </c>
      <c r="AK22" t="b">
        <f t="shared" si="16"/>
        <v>0</v>
      </c>
      <c r="AL22" t="b">
        <f t="shared" si="17"/>
        <v>0</v>
      </c>
      <c r="AM22" t="b">
        <f t="shared" si="18"/>
        <v>0</v>
      </c>
      <c r="AN22" t="b">
        <f t="shared" si="37"/>
        <v>0</v>
      </c>
      <c r="AO22" t="b">
        <f>IF(COUNTIF($D$6:D21,F22&amp;G22&amp;W22)&gt;0,AK22,FALSE)</f>
        <v>0</v>
      </c>
      <c r="AP22" t="b">
        <f t="shared" ca="1" si="19"/>
        <v>0</v>
      </c>
      <c r="AQ22" t="b">
        <f t="shared" si="20"/>
        <v>0</v>
      </c>
      <c r="AR22" t="b">
        <f t="shared" si="32"/>
        <v>0</v>
      </c>
      <c r="AS22" t="b">
        <f t="shared" ca="1" si="21"/>
        <v>0</v>
      </c>
      <c r="AT22" t="b">
        <f t="shared" ca="1" si="22"/>
        <v>0</v>
      </c>
      <c r="AU22" t="b">
        <f ca="1">IF(COUNTIF(設定!$B$6:$B$11,SUMIF($B$6:B21,G22&amp;W22,$C$6:C21)+IF(AI22,10,IF(AJ22,1,0)))=1,FALSE,AK22)</f>
        <v>0</v>
      </c>
      <c r="AV22" t="b">
        <f t="shared" ca="1" si="23"/>
        <v>0</v>
      </c>
      <c r="AW22" t="b">
        <f t="shared" ca="1" si="24"/>
        <v>0</v>
      </c>
      <c r="AX22" t="b">
        <f t="shared" si="25"/>
        <v>0</v>
      </c>
      <c r="AY22" t="b">
        <f t="shared" si="26"/>
        <v>0</v>
      </c>
      <c r="AZ22" t="b">
        <f t="shared" si="27"/>
        <v>0</v>
      </c>
      <c r="BA22" t="b">
        <f>IF(AND(設定!$B$2&lt;=T22,T22&lt;=設定!$B$3),FALSE,AK22)</f>
        <v>0</v>
      </c>
      <c r="BC22">
        <f t="shared" ca="1" si="4"/>
        <v>0</v>
      </c>
      <c r="BD22">
        <f t="shared" si="28"/>
        <v>17</v>
      </c>
      <c r="BE22" t="str">
        <f t="shared" si="29"/>
        <v/>
      </c>
      <c r="BF22">
        <f>IF(BG22&lt;&gt;"",MAX($BF$6:BF21)+1,0)</f>
        <v>0</v>
      </c>
      <c r="BG22" t="str">
        <f>IF(BE22&lt;&gt;"",IF(COUNTIF($BE$6:BE21,BE22)&gt;0,"",BE22),"")</f>
        <v/>
      </c>
      <c r="BH22" t="str">
        <f t="shared" si="30"/>
        <v/>
      </c>
      <c r="BI22">
        <f>IF(BJ22&lt;&gt;"",MAX($BI$6:BI21)+1,0)</f>
        <v>0</v>
      </c>
      <c r="BJ22" t="str">
        <f>IF(BH22&lt;&gt;"",IF(COUNTIF($BE$6:BH21,BH22)&gt;0,"",BH22),"")</f>
        <v/>
      </c>
      <c r="BK22" t="str">
        <f>設定!D18</f>
        <v>走幅跳</v>
      </c>
      <c r="BL22" t="str">
        <f>設定!K18</f>
        <v>走高跳</v>
      </c>
    </row>
    <row r="23" spans="1:64" ht="16.5" customHeight="1">
      <c r="A23" t="str">
        <f t="shared" si="5"/>
        <v/>
      </c>
      <c r="B23" t="str">
        <f t="shared" si="6"/>
        <v/>
      </c>
      <c r="C23">
        <f t="shared" ca="1" si="33"/>
        <v>0</v>
      </c>
      <c r="D23" t="str">
        <f t="shared" si="7"/>
        <v/>
      </c>
      <c r="E23">
        <f>IF(B23="",0,LARGE($E$5:E22,1)+1)</f>
        <v>0</v>
      </c>
      <c r="F23" s="44"/>
      <c r="G23" s="45"/>
      <c r="H23" s="7" t="str">
        <f>IF(AND(F23="",G23=""),"",VLOOKUP(学校情報!$B$5&amp;F23&amp;G23,選手データ!$A:$H,4,FALSE))</f>
        <v/>
      </c>
      <c r="I23" s="7" t="str">
        <f>IF(AND(F23="",G23=""),"",VLOOKUP(学校情報!$B$5&amp;F23&amp;G23,選手データ!$A:$H,5,FALSE))</f>
        <v/>
      </c>
      <c r="J23" s="8" t="str">
        <f>IF(AND(F23="",G23=""),"",VLOOKUP(学校情報!$B$5&amp;F23&amp;G23,選手データ!$A:$H,6,FALSE))</f>
        <v/>
      </c>
      <c r="K23" s="32" t="str">
        <f>IF(AND(F23="",G23=""),"",VLOOKUP(学校情報!$B$5&amp;F23&amp;G23,選手データ!$A:$H,8,FALSE))</f>
        <v/>
      </c>
      <c r="L23" s="7" t="str">
        <f>IF(AND(F23="",G23=""),"",VLOOKUP(学校情報!$B$5&amp;F23&amp;G23,選手データ!$A:$I,9,FALSE))</f>
        <v/>
      </c>
      <c r="M23" s="44"/>
      <c r="N23" s="46"/>
      <c r="O23" s="47"/>
      <c r="P23" s="7" t="str">
        <f t="shared" ca="1" si="34"/>
        <v/>
      </c>
      <c r="Q23" s="46"/>
      <c r="R23" s="48"/>
      <c r="S23" s="45"/>
      <c r="T23" s="49"/>
      <c r="U23" s="8" t="str">
        <f t="shared" ca="1" si="35"/>
        <v/>
      </c>
      <c r="V23" s="8" t="str">
        <f t="shared" si="36"/>
        <v/>
      </c>
      <c r="W23" s="4">
        <f t="shared" si="8"/>
        <v>0</v>
      </c>
      <c r="X23" t="b">
        <f ca="1">IF(M23="",FALSE,VLOOKUP(M23,OFFSET(設定!$D$2:$I$25,0,AA23),2,FALSE))</f>
        <v>0</v>
      </c>
      <c r="Y23" t="str">
        <f ca="1">IF(M23="","",VLOOKUP(M23,OFFSET(設定!$D$2:$I$25,0,AA23),3,FALSE))</f>
        <v/>
      </c>
      <c r="Z23" t="b">
        <f ca="1">IF(M23="",FALSE,VLOOKUP(M23,OFFSET(設定!$D$2:$I$25,0,AA23),4,FALSE))</f>
        <v>0</v>
      </c>
      <c r="AA23">
        <f t="shared" si="9"/>
        <v>7</v>
      </c>
      <c r="AB23" s="1" t="str">
        <f ca="1">IF(M23="","",IF(AND(Z23,N23="〇"),IF(VLOOKUP(M23,OFFSET(設定!$D$2:$I$25,0,AA23),5,FALSE)="-","-",LEFT(VLOOKUP(M23,OFFSET(設定!$D$2:$I$25,0,AA23),5,FALSE),INT(LEN(VLOOKUP(M23,OFFSET(設定!$D$2:$I$25,0,AA23),5,FALSE))-1))),IF(VLOOKUP(M23,OFFSET(設定!$D$2:$I$25,0,AA23),5,FALSE)="-","-",INT(VLOOKUP(M23,OFFSET(設定!$D$2:$I$25,0,AA23),5,FALSE)))))</f>
        <v/>
      </c>
      <c r="AC23" s="1" t="str">
        <f ca="1">IF(M23="","",IF(AND(Z23,N23="〇"),IF(VLOOKUP(M23,OFFSET(設定!$D$2:$I$25,0,AA23),6,FALSE)="-","-",LEFT(VLOOKUP(M23,OFFSET(設定!$D$2:$I$25,0,AA23),6,FALSE),INT(LEN(VLOOKUP(M23,OFFSET(設定!$D$2:$I$25,0,AA23),6,FALSE))-1))),IF(VLOOKUP(M23,OFFSET(設定!$D$2:$I$25,0,AA23),6,FALSE)="-","-",INT(VLOOKUP(M23,OFFSET(設定!$D$2:$I$25,0,AA23),6,FALSE)))))</f>
        <v/>
      </c>
      <c r="AD23">
        <f t="shared" si="10"/>
        <v>2</v>
      </c>
      <c r="AE23" t="str">
        <f t="shared" ca="1" si="11"/>
        <v/>
      </c>
      <c r="AF23" t="str">
        <f t="shared" ca="1" si="31"/>
        <v/>
      </c>
      <c r="AG23" t="str">
        <f t="shared" ca="1" si="12"/>
        <v/>
      </c>
      <c r="AH23" t="b">
        <f t="shared" ca="1" si="13"/>
        <v>1</v>
      </c>
      <c r="AI23" t="b">
        <f t="shared" ca="1" si="14"/>
        <v>0</v>
      </c>
      <c r="AJ23" t="b">
        <f t="shared" ca="1" si="15"/>
        <v>0</v>
      </c>
      <c r="AK23" t="b">
        <f t="shared" si="16"/>
        <v>0</v>
      </c>
      <c r="AL23" t="b">
        <f t="shared" si="17"/>
        <v>0</v>
      </c>
      <c r="AM23" t="b">
        <f t="shared" si="18"/>
        <v>0</v>
      </c>
      <c r="AN23" t="b">
        <f t="shared" si="37"/>
        <v>0</v>
      </c>
      <c r="AO23" t="b">
        <f>IF(COUNTIF($D$6:D22,F23&amp;G23&amp;W23)&gt;0,AK23,FALSE)</f>
        <v>0</v>
      </c>
      <c r="AP23" t="b">
        <f t="shared" ca="1" si="19"/>
        <v>0</v>
      </c>
      <c r="AQ23" t="b">
        <f t="shared" si="20"/>
        <v>0</v>
      </c>
      <c r="AR23" t="b">
        <f t="shared" si="32"/>
        <v>0</v>
      </c>
      <c r="AS23" t="b">
        <f t="shared" ca="1" si="21"/>
        <v>0</v>
      </c>
      <c r="AT23" t="b">
        <f t="shared" ca="1" si="22"/>
        <v>0</v>
      </c>
      <c r="AU23" t="b">
        <f ca="1">IF(COUNTIF(設定!$B$6:$B$11,SUMIF($B$6:B22,G23&amp;W23,$C$6:C22)+IF(AI23,10,IF(AJ23,1,0)))=1,FALSE,AK23)</f>
        <v>0</v>
      </c>
      <c r="AV23" t="b">
        <f t="shared" ca="1" si="23"/>
        <v>0</v>
      </c>
      <c r="AW23" t="b">
        <f t="shared" ca="1" si="24"/>
        <v>0</v>
      </c>
      <c r="AX23" t="b">
        <f t="shared" si="25"/>
        <v>0</v>
      </c>
      <c r="AY23" t="b">
        <f t="shared" si="26"/>
        <v>0</v>
      </c>
      <c r="AZ23" t="b">
        <f t="shared" si="27"/>
        <v>0</v>
      </c>
      <c r="BA23" t="b">
        <f>IF(AND(設定!$B$2&lt;=T23,T23&lt;=設定!$B$3),FALSE,AK23)</f>
        <v>0</v>
      </c>
      <c r="BC23">
        <f t="shared" ca="1" si="4"/>
        <v>0</v>
      </c>
      <c r="BD23">
        <f t="shared" si="28"/>
        <v>18</v>
      </c>
      <c r="BE23" t="str">
        <f t="shared" si="29"/>
        <v/>
      </c>
      <c r="BF23">
        <f>IF(BG23&lt;&gt;"",MAX($BF$6:BF22)+1,0)</f>
        <v>0</v>
      </c>
      <c r="BG23" t="str">
        <f>IF(BE23&lt;&gt;"",IF(COUNTIF($BE$6:BE22,BE23)&gt;0,"",BE23),"")</f>
        <v/>
      </c>
      <c r="BH23" t="str">
        <f t="shared" si="30"/>
        <v/>
      </c>
      <c r="BI23">
        <f>IF(BJ23&lt;&gt;"",MAX($BI$6:BI22)+1,0)</f>
        <v>0</v>
      </c>
      <c r="BJ23" t="str">
        <f>IF(BH23&lt;&gt;"",IF(COUNTIF($BE$6:BH22,BH23)&gt;0,"",BH23),"")</f>
        <v/>
      </c>
      <c r="BK23" t="str">
        <f>設定!D19</f>
        <v>三段跳</v>
      </c>
      <c r="BL23" t="str">
        <f>設定!K19</f>
        <v>棒高跳</v>
      </c>
    </row>
    <row r="24" spans="1:64" ht="16.5" customHeight="1">
      <c r="A24" t="str">
        <f t="shared" si="5"/>
        <v/>
      </c>
      <c r="B24" t="str">
        <f t="shared" si="6"/>
        <v/>
      </c>
      <c r="C24">
        <f t="shared" ca="1" si="33"/>
        <v>0</v>
      </c>
      <c r="D24" t="str">
        <f t="shared" si="7"/>
        <v/>
      </c>
      <c r="E24">
        <f>IF(B24="",0,LARGE($E$5:E23,1)+1)</f>
        <v>0</v>
      </c>
      <c r="F24" s="44"/>
      <c r="G24" s="45"/>
      <c r="H24" s="7" t="str">
        <f>IF(AND(F24="",G24=""),"",VLOOKUP(学校情報!$B$5&amp;F24&amp;G24,選手データ!$A:$H,4,FALSE))</f>
        <v/>
      </c>
      <c r="I24" s="7" t="str">
        <f>IF(AND(F24="",G24=""),"",VLOOKUP(学校情報!$B$5&amp;F24&amp;G24,選手データ!$A:$H,5,FALSE))</f>
        <v/>
      </c>
      <c r="J24" s="8" t="str">
        <f>IF(AND(F24="",G24=""),"",VLOOKUP(学校情報!$B$5&amp;F24&amp;G24,選手データ!$A:$H,6,FALSE))</f>
        <v/>
      </c>
      <c r="K24" s="32" t="str">
        <f>IF(AND(F24="",G24=""),"",VLOOKUP(学校情報!$B$5&amp;F24&amp;G24,選手データ!$A:$H,8,FALSE))</f>
        <v/>
      </c>
      <c r="L24" s="7" t="str">
        <f>IF(AND(F24="",G24=""),"",VLOOKUP(学校情報!$B$5&amp;F24&amp;G24,選手データ!$A:$I,9,FALSE))</f>
        <v/>
      </c>
      <c r="M24" s="44"/>
      <c r="N24" s="46"/>
      <c r="O24" s="47"/>
      <c r="P24" s="7" t="str">
        <f t="shared" ca="1" si="34"/>
        <v/>
      </c>
      <c r="Q24" s="46"/>
      <c r="R24" s="48"/>
      <c r="S24" s="45"/>
      <c r="T24" s="49"/>
      <c r="U24" s="8" t="str">
        <f t="shared" ca="1" si="35"/>
        <v/>
      </c>
      <c r="V24" s="8" t="str">
        <f t="shared" si="36"/>
        <v/>
      </c>
      <c r="W24" s="4">
        <f t="shared" si="8"/>
        <v>0</v>
      </c>
      <c r="X24" t="b">
        <f ca="1">IF(M24="",FALSE,VLOOKUP(M24,OFFSET(設定!$D$2:$I$25,0,AA24),2,FALSE))</f>
        <v>0</v>
      </c>
      <c r="Y24" t="str">
        <f ca="1">IF(M24="","",VLOOKUP(M24,OFFSET(設定!$D$2:$I$25,0,AA24),3,FALSE))</f>
        <v/>
      </c>
      <c r="Z24" t="b">
        <f ca="1">IF(M24="",FALSE,VLOOKUP(M24,OFFSET(設定!$D$2:$I$25,0,AA24),4,FALSE))</f>
        <v>0</v>
      </c>
      <c r="AA24">
        <f t="shared" si="9"/>
        <v>7</v>
      </c>
      <c r="AB24" s="1" t="str">
        <f ca="1">IF(M24="","",IF(AND(Z24,N24="〇"),IF(VLOOKUP(M24,OFFSET(設定!$D$2:$I$25,0,AA24),5,FALSE)="-","-",LEFT(VLOOKUP(M24,OFFSET(設定!$D$2:$I$25,0,AA24),5,FALSE),INT(LEN(VLOOKUP(M24,OFFSET(設定!$D$2:$I$25,0,AA24),5,FALSE))-1))),IF(VLOOKUP(M24,OFFSET(設定!$D$2:$I$25,0,AA24),5,FALSE)="-","-",INT(VLOOKUP(M24,OFFSET(設定!$D$2:$I$25,0,AA24),5,FALSE)))))</f>
        <v/>
      </c>
      <c r="AC24" s="1" t="str">
        <f ca="1">IF(M24="","",IF(AND(Z24,N24="〇"),IF(VLOOKUP(M24,OFFSET(設定!$D$2:$I$25,0,AA24),6,FALSE)="-","-",LEFT(VLOOKUP(M24,OFFSET(設定!$D$2:$I$25,0,AA24),6,FALSE),INT(LEN(VLOOKUP(M24,OFFSET(設定!$D$2:$I$25,0,AA24),6,FALSE))-1))),IF(VLOOKUP(M24,OFFSET(設定!$D$2:$I$25,0,AA24),6,FALSE)="-","-",INT(VLOOKUP(M24,OFFSET(設定!$D$2:$I$25,0,AA24),6,FALSE)))))</f>
        <v/>
      </c>
      <c r="AD24">
        <f t="shared" si="10"/>
        <v>2</v>
      </c>
      <c r="AE24" t="str">
        <f t="shared" ca="1" si="11"/>
        <v/>
      </c>
      <c r="AF24" t="str">
        <f t="shared" ca="1" si="31"/>
        <v/>
      </c>
      <c r="AG24" t="str">
        <f t="shared" ca="1" si="12"/>
        <v/>
      </c>
      <c r="AH24" t="b">
        <f t="shared" ca="1" si="13"/>
        <v>1</v>
      </c>
      <c r="AI24" t="b">
        <f t="shared" ca="1" si="14"/>
        <v>0</v>
      </c>
      <c r="AJ24" t="b">
        <f t="shared" ca="1" si="15"/>
        <v>0</v>
      </c>
      <c r="AK24" t="b">
        <f t="shared" si="16"/>
        <v>0</v>
      </c>
      <c r="AL24" t="b">
        <f t="shared" si="17"/>
        <v>0</v>
      </c>
      <c r="AM24" t="b">
        <f t="shared" si="18"/>
        <v>0</v>
      </c>
      <c r="AN24" t="b">
        <f t="shared" si="37"/>
        <v>0</v>
      </c>
      <c r="AO24" t="b">
        <f>IF(COUNTIF($D$6:D23,F24&amp;G24&amp;W24)&gt;0,AK24,FALSE)</f>
        <v>0</v>
      </c>
      <c r="AP24" t="b">
        <f t="shared" ca="1" si="19"/>
        <v>0</v>
      </c>
      <c r="AQ24" t="b">
        <f t="shared" si="20"/>
        <v>0</v>
      </c>
      <c r="AR24" t="b">
        <f t="shared" si="32"/>
        <v>0</v>
      </c>
      <c r="AS24" t="b">
        <f t="shared" ca="1" si="21"/>
        <v>0</v>
      </c>
      <c r="AT24" t="b">
        <f t="shared" ca="1" si="22"/>
        <v>0</v>
      </c>
      <c r="AU24" t="b">
        <f ca="1">IF(COUNTIF(設定!$B$6:$B$11,SUMIF($B$6:B23,G24&amp;W24,$C$6:C23)+IF(AI24,10,IF(AJ24,1,0)))=1,FALSE,AK24)</f>
        <v>0</v>
      </c>
      <c r="AV24" t="b">
        <f t="shared" ca="1" si="23"/>
        <v>0</v>
      </c>
      <c r="AW24" t="b">
        <f t="shared" ca="1" si="24"/>
        <v>0</v>
      </c>
      <c r="AX24" t="b">
        <f t="shared" si="25"/>
        <v>0</v>
      </c>
      <c r="AY24" t="b">
        <f t="shared" si="26"/>
        <v>0</v>
      </c>
      <c r="AZ24" t="b">
        <f t="shared" si="27"/>
        <v>0</v>
      </c>
      <c r="BA24" t="b">
        <f>IF(AND(設定!$B$2&lt;=T24,T24&lt;=設定!$B$3),FALSE,AK24)</f>
        <v>0</v>
      </c>
      <c r="BC24">
        <f t="shared" ca="1" si="4"/>
        <v>0</v>
      </c>
      <c r="BD24">
        <f t="shared" si="28"/>
        <v>19</v>
      </c>
      <c r="BE24" t="str">
        <f t="shared" si="29"/>
        <v/>
      </c>
      <c r="BF24">
        <f>IF(BG24&lt;&gt;"",MAX($BF$6:BF23)+1,0)</f>
        <v>0</v>
      </c>
      <c r="BG24" t="str">
        <f>IF(BE24&lt;&gt;"",IF(COUNTIF($BE$6:BE23,BE24)&gt;0,"",BE24),"")</f>
        <v/>
      </c>
      <c r="BH24" t="str">
        <f t="shared" si="30"/>
        <v/>
      </c>
      <c r="BI24">
        <f>IF(BJ24&lt;&gt;"",MAX($BI$6:BI23)+1,0)</f>
        <v>0</v>
      </c>
      <c r="BJ24" t="str">
        <f>IF(BH24&lt;&gt;"",IF(COUNTIF($BE$6:BH23,BH24)&gt;0,"",BH24),"")</f>
        <v/>
      </c>
      <c r="BK24" t="str">
        <f>設定!D20</f>
        <v>砲丸投</v>
      </c>
      <c r="BL24" t="str">
        <f>設定!K20</f>
        <v>走幅跳</v>
      </c>
    </row>
    <row r="25" spans="1:64" ht="16.5" customHeight="1">
      <c r="A25" t="str">
        <f t="shared" si="5"/>
        <v/>
      </c>
      <c r="B25" t="str">
        <f t="shared" si="6"/>
        <v/>
      </c>
      <c r="C25">
        <f t="shared" ca="1" si="33"/>
        <v>0</v>
      </c>
      <c r="D25" t="str">
        <f t="shared" si="7"/>
        <v/>
      </c>
      <c r="E25">
        <f>IF(B25="",0,LARGE($E$5:E24,1)+1)</f>
        <v>0</v>
      </c>
      <c r="F25" s="44"/>
      <c r="G25" s="45"/>
      <c r="H25" s="7" t="str">
        <f>IF(AND(F25="",G25=""),"",VLOOKUP(学校情報!$B$5&amp;F25&amp;G25,選手データ!$A:$H,4,FALSE))</f>
        <v/>
      </c>
      <c r="I25" s="7" t="str">
        <f>IF(AND(F25="",G25=""),"",VLOOKUP(学校情報!$B$5&amp;F25&amp;G25,選手データ!$A:$H,5,FALSE))</f>
        <v/>
      </c>
      <c r="J25" s="8" t="str">
        <f>IF(AND(F25="",G25=""),"",VLOOKUP(学校情報!$B$5&amp;F25&amp;G25,選手データ!$A:$H,6,FALSE))</f>
        <v/>
      </c>
      <c r="K25" s="32" t="str">
        <f>IF(AND(F25="",G25=""),"",VLOOKUP(学校情報!$B$5&amp;F25&amp;G25,選手データ!$A:$H,8,FALSE))</f>
        <v/>
      </c>
      <c r="L25" s="7" t="str">
        <f>IF(AND(F25="",G25=""),"",VLOOKUP(学校情報!$B$5&amp;F25&amp;G25,選手データ!$A:$I,9,FALSE))</f>
        <v/>
      </c>
      <c r="M25" s="44"/>
      <c r="N25" s="46"/>
      <c r="O25" s="47"/>
      <c r="P25" s="7" t="str">
        <f t="shared" ca="1" si="34"/>
        <v/>
      </c>
      <c r="Q25" s="46"/>
      <c r="R25" s="48"/>
      <c r="S25" s="45"/>
      <c r="T25" s="49"/>
      <c r="U25" s="8" t="str">
        <f t="shared" ca="1" si="35"/>
        <v/>
      </c>
      <c r="V25" s="8" t="str">
        <f t="shared" si="36"/>
        <v/>
      </c>
      <c r="W25" s="4">
        <f t="shared" si="8"/>
        <v>0</v>
      </c>
      <c r="X25" t="b">
        <f ca="1">IF(M25="",FALSE,VLOOKUP(M25,OFFSET(設定!$D$2:$I$25,0,AA25),2,FALSE))</f>
        <v>0</v>
      </c>
      <c r="Y25" t="str">
        <f ca="1">IF(M25="","",VLOOKUP(M25,OFFSET(設定!$D$2:$I$25,0,AA25),3,FALSE))</f>
        <v/>
      </c>
      <c r="Z25" t="b">
        <f ca="1">IF(M25="",FALSE,VLOOKUP(M25,OFFSET(設定!$D$2:$I$25,0,AA25),4,FALSE))</f>
        <v>0</v>
      </c>
      <c r="AA25">
        <f t="shared" si="9"/>
        <v>7</v>
      </c>
      <c r="AB25" s="1" t="str">
        <f ca="1">IF(M25="","",IF(AND(Z25,N25="〇"),IF(VLOOKUP(M25,OFFSET(設定!$D$2:$I$25,0,AA25),5,FALSE)="-","-",LEFT(VLOOKUP(M25,OFFSET(設定!$D$2:$I$25,0,AA25),5,FALSE),INT(LEN(VLOOKUP(M25,OFFSET(設定!$D$2:$I$25,0,AA25),5,FALSE))-1))),IF(VLOOKUP(M25,OFFSET(設定!$D$2:$I$25,0,AA25),5,FALSE)="-","-",INT(VLOOKUP(M25,OFFSET(設定!$D$2:$I$25,0,AA25),5,FALSE)))))</f>
        <v/>
      </c>
      <c r="AC25" s="1" t="str">
        <f ca="1">IF(M25="","",IF(AND(Z25,N25="〇"),IF(VLOOKUP(M25,OFFSET(設定!$D$2:$I$25,0,AA25),6,FALSE)="-","-",LEFT(VLOOKUP(M25,OFFSET(設定!$D$2:$I$25,0,AA25),6,FALSE),INT(LEN(VLOOKUP(M25,OFFSET(設定!$D$2:$I$25,0,AA25),6,FALSE))-1))),IF(VLOOKUP(M25,OFFSET(設定!$D$2:$I$25,0,AA25),6,FALSE)="-","-",INT(VLOOKUP(M25,OFFSET(設定!$D$2:$I$25,0,AA25),6,FALSE)))))</f>
        <v/>
      </c>
      <c r="AD25">
        <f t="shared" si="10"/>
        <v>2</v>
      </c>
      <c r="AE25" t="str">
        <f t="shared" ca="1" si="11"/>
        <v/>
      </c>
      <c r="AF25" t="str">
        <f t="shared" ca="1" si="31"/>
        <v/>
      </c>
      <c r="AG25" t="str">
        <f t="shared" ca="1" si="12"/>
        <v/>
      </c>
      <c r="AH25" t="b">
        <f t="shared" ca="1" si="13"/>
        <v>1</v>
      </c>
      <c r="AI25" t="b">
        <f t="shared" ca="1" si="14"/>
        <v>0</v>
      </c>
      <c r="AJ25" t="b">
        <f t="shared" ca="1" si="15"/>
        <v>0</v>
      </c>
      <c r="AK25" t="b">
        <f t="shared" si="16"/>
        <v>0</v>
      </c>
      <c r="AL25" t="b">
        <f t="shared" si="17"/>
        <v>0</v>
      </c>
      <c r="AM25" t="b">
        <f t="shared" si="18"/>
        <v>0</v>
      </c>
      <c r="AN25" t="b">
        <f t="shared" si="37"/>
        <v>0</v>
      </c>
      <c r="AO25" t="b">
        <f>IF(COUNTIF($D$6:D24,F25&amp;G25&amp;W25)&gt;0,AK25,FALSE)</f>
        <v>0</v>
      </c>
      <c r="AP25" t="b">
        <f t="shared" ca="1" si="19"/>
        <v>0</v>
      </c>
      <c r="AQ25" t="b">
        <f t="shared" si="20"/>
        <v>0</v>
      </c>
      <c r="AR25" t="b">
        <f t="shared" si="32"/>
        <v>0</v>
      </c>
      <c r="AS25" t="b">
        <f t="shared" ca="1" si="21"/>
        <v>0</v>
      </c>
      <c r="AT25" t="b">
        <f t="shared" ca="1" si="22"/>
        <v>0</v>
      </c>
      <c r="AU25" t="b">
        <f ca="1">IF(COUNTIF(設定!$B$6:$B$11,SUMIF($B$6:B24,G25&amp;W25,$C$6:C24)+IF(AI25,10,IF(AJ25,1,0)))=1,FALSE,AK25)</f>
        <v>0</v>
      </c>
      <c r="AV25" t="b">
        <f t="shared" ca="1" si="23"/>
        <v>0</v>
      </c>
      <c r="AW25" t="b">
        <f t="shared" ca="1" si="24"/>
        <v>0</v>
      </c>
      <c r="AX25" t="b">
        <f t="shared" si="25"/>
        <v>0</v>
      </c>
      <c r="AY25" t="b">
        <f t="shared" si="26"/>
        <v>0</v>
      </c>
      <c r="AZ25" t="b">
        <f t="shared" si="27"/>
        <v>0</v>
      </c>
      <c r="BA25" t="b">
        <f>IF(AND(設定!$B$2&lt;=T25,T25&lt;=設定!$B$3),FALSE,AK25)</f>
        <v>0</v>
      </c>
      <c r="BC25">
        <f t="shared" ca="1" si="4"/>
        <v>0</v>
      </c>
      <c r="BD25">
        <f t="shared" si="28"/>
        <v>20</v>
      </c>
      <c r="BE25" t="str">
        <f t="shared" si="29"/>
        <v/>
      </c>
      <c r="BF25">
        <f>IF(BG25&lt;&gt;"",MAX($BF$6:BF24)+1,0)</f>
        <v>0</v>
      </c>
      <c r="BG25" t="str">
        <f>IF(BE25&lt;&gt;"",IF(COUNTIF($BE$6:BE24,BE25)&gt;0,"",BE25),"")</f>
        <v/>
      </c>
      <c r="BH25" t="str">
        <f t="shared" si="30"/>
        <v/>
      </c>
      <c r="BI25">
        <f>IF(BJ25&lt;&gt;"",MAX($BI$6:BI24)+1,0)</f>
        <v>0</v>
      </c>
      <c r="BJ25" t="str">
        <f>IF(BH25&lt;&gt;"",IF(COUNTIF($BE$6:BH24,BH25)&gt;0,"",BH25),"")</f>
        <v/>
      </c>
      <c r="BK25" t="str">
        <f>設定!D21</f>
        <v>円盤投</v>
      </c>
      <c r="BL25" t="str">
        <f>設定!K21</f>
        <v>三段跳</v>
      </c>
    </row>
    <row r="26" spans="1:64" ht="16.5" customHeight="1">
      <c r="A26" t="str">
        <f t="shared" si="5"/>
        <v/>
      </c>
      <c r="B26" t="str">
        <f t="shared" si="6"/>
        <v/>
      </c>
      <c r="C26">
        <f t="shared" ca="1" si="33"/>
        <v>0</v>
      </c>
      <c r="D26" t="str">
        <f t="shared" si="7"/>
        <v/>
      </c>
      <c r="E26">
        <f>IF(B26="",0,LARGE($E$5:E25,1)+1)</f>
        <v>0</v>
      </c>
      <c r="F26" s="44"/>
      <c r="G26" s="45"/>
      <c r="H26" s="7" t="str">
        <f>IF(AND(F26="",G26=""),"",VLOOKUP(学校情報!$B$5&amp;F26&amp;G26,選手データ!$A:$H,4,FALSE))</f>
        <v/>
      </c>
      <c r="I26" s="7" t="str">
        <f>IF(AND(F26="",G26=""),"",VLOOKUP(学校情報!$B$5&amp;F26&amp;G26,選手データ!$A:$H,5,FALSE))</f>
        <v/>
      </c>
      <c r="J26" s="8" t="str">
        <f>IF(AND(F26="",G26=""),"",VLOOKUP(学校情報!$B$5&amp;F26&amp;G26,選手データ!$A:$H,6,FALSE))</f>
        <v/>
      </c>
      <c r="K26" s="32" t="str">
        <f>IF(AND(F26="",G26=""),"",VLOOKUP(学校情報!$B$5&amp;F26&amp;G26,選手データ!$A:$H,8,FALSE))</f>
        <v/>
      </c>
      <c r="L26" s="7" t="str">
        <f>IF(AND(F26="",G26=""),"",VLOOKUP(学校情報!$B$5&amp;F26&amp;G26,選手データ!$A:$I,9,FALSE))</f>
        <v/>
      </c>
      <c r="M26" s="44"/>
      <c r="N26" s="46"/>
      <c r="O26" s="47"/>
      <c r="P26" s="7" t="str">
        <f t="shared" ca="1" si="34"/>
        <v/>
      </c>
      <c r="Q26" s="46"/>
      <c r="R26" s="48"/>
      <c r="S26" s="45"/>
      <c r="T26" s="49"/>
      <c r="U26" s="8" t="str">
        <f t="shared" ca="1" si="35"/>
        <v/>
      </c>
      <c r="V26" s="8" t="str">
        <f t="shared" si="36"/>
        <v/>
      </c>
      <c r="W26" s="4">
        <f t="shared" si="8"/>
        <v>0</v>
      </c>
      <c r="X26" t="b">
        <f ca="1">IF(M26="",FALSE,VLOOKUP(M26,OFFSET(設定!$D$2:$I$25,0,AA26),2,FALSE))</f>
        <v>0</v>
      </c>
      <c r="Y26" t="str">
        <f ca="1">IF(M26="","",VLOOKUP(M26,OFFSET(設定!$D$2:$I$25,0,AA26),3,FALSE))</f>
        <v/>
      </c>
      <c r="Z26" t="b">
        <f ca="1">IF(M26="",FALSE,VLOOKUP(M26,OFFSET(設定!$D$2:$I$25,0,AA26),4,FALSE))</f>
        <v>0</v>
      </c>
      <c r="AA26">
        <f t="shared" si="9"/>
        <v>7</v>
      </c>
      <c r="AB26" s="1" t="str">
        <f ca="1">IF(M26="","",IF(AND(Z26,N26="〇"),IF(VLOOKUP(M26,OFFSET(設定!$D$2:$I$25,0,AA26),5,FALSE)="-","-",LEFT(VLOOKUP(M26,OFFSET(設定!$D$2:$I$25,0,AA26),5,FALSE),INT(LEN(VLOOKUP(M26,OFFSET(設定!$D$2:$I$25,0,AA26),5,FALSE))-1))),IF(VLOOKUP(M26,OFFSET(設定!$D$2:$I$25,0,AA26),5,FALSE)="-","-",INT(VLOOKUP(M26,OFFSET(設定!$D$2:$I$25,0,AA26),5,FALSE)))))</f>
        <v/>
      </c>
      <c r="AC26" s="1" t="str">
        <f ca="1">IF(M26="","",IF(AND(Z26,N26="〇"),IF(VLOOKUP(M26,OFFSET(設定!$D$2:$I$25,0,AA26),6,FALSE)="-","-",LEFT(VLOOKUP(M26,OFFSET(設定!$D$2:$I$25,0,AA26),6,FALSE),INT(LEN(VLOOKUP(M26,OFFSET(設定!$D$2:$I$25,0,AA26),6,FALSE))-1))),IF(VLOOKUP(M26,OFFSET(設定!$D$2:$I$25,0,AA26),6,FALSE)="-","-",INT(VLOOKUP(M26,OFFSET(設定!$D$2:$I$25,0,AA26),6,FALSE)))))</f>
        <v/>
      </c>
      <c r="AD26">
        <f t="shared" si="10"/>
        <v>2</v>
      </c>
      <c r="AE26" t="str">
        <f t="shared" ca="1" si="11"/>
        <v/>
      </c>
      <c r="AF26" t="str">
        <f t="shared" ca="1" si="31"/>
        <v/>
      </c>
      <c r="AG26" t="str">
        <f t="shared" ca="1" si="12"/>
        <v/>
      </c>
      <c r="AH26" t="b">
        <f t="shared" ca="1" si="13"/>
        <v>1</v>
      </c>
      <c r="AI26" t="b">
        <f t="shared" ca="1" si="14"/>
        <v>0</v>
      </c>
      <c r="AJ26" t="b">
        <f t="shared" ca="1" si="15"/>
        <v>0</v>
      </c>
      <c r="AK26" t="b">
        <f t="shared" si="16"/>
        <v>0</v>
      </c>
      <c r="AL26" t="b">
        <f t="shared" si="17"/>
        <v>0</v>
      </c>
      <c r="AM26" t="b">
        <f t="shared" si="18"/>
        <v>0</v>
      </c>
      <c r="AN26" t="b">
        <f t="shared" si="37"/>
        <v>0</v>
      </c>
      <c r="AO26" t="b">
        <f>IF(COUNTIF($D$6:D25,F26&amp;G26&amp;W26)&gt;0,AK26,FALSE)</f>
        <v>0</v>
      </c>
      <c r="AP26" t="b">
        <f t="shared" ca="1" si="19"/>
        <v>0</v>
      </c>
      <c r="AQ26" t="b">
        <f t="shared" si="20"/>
        <v>0</v>
      </c>
      <c r="AR26" t="b">
        <f t="shared" si="32"/>
        <v>0</v>
      </c>
      <c r="AS26" t="b">
        <f t="shared" ca="1" si="21"/>
        <v>0</v>
      </c>
      <c r="AT26" t="b">
        <f t="shared" ca="1" si="22"/>
        <v>0</v>
      </c>
      <c r="AU26" t="b">
        <f ca="1">IF(COUNTIF(設定!$B$6:$B$11,SUMIF($B$6:B25,G26&amp;W26,$C$6:C25)+IF(AI26,10,IF(AJ26,1,0)))=1,FALSE,AK26)</f>
        <v>0</v>
      </c>
      <c r="AV26" t="b">
        <f t="shared" ca="1" si="23"/>
        <v>0</v>
      </c>
      <c r="AW26" t="b">
        <f t="shared" ca="1" si="24"/>
        <v>0</v>
      </c>
      <c r="AX26" t="b">
        <f t="shared" si="25"/>
        <v>0</v>
      </c>
      <c r="AY26" t="b">
        <f t="shared" si="26"/>
        <v>0</v>
      </c>
      <c r="AZ26" t="b">
        <f t="shared" si="27"/>
        <v>0</v>
      </c>
      <c r="BA26" t="b">
        <f>IF(AND(設定!$B$2&lt;=T26,T26&lt;=設定!$B$3),FALSE,AK26)</f>
        <v>0</v>
      </c>
      <c r="BC26">
        <f t="shared" ca="1" si="4"/>
        <v>0</v>
      </c>
      <c r="BD26">
        <f t="shared" si="28"/>
        <v>21</v>
      </c>
      <c r="BE26" t="str">
        <f t="shared" si="29"/>
        <v/>
      </c>
      <c r="BF26">
        <f>IF(BG26&lt;&gt;"",MAX($BF$6:BF25)+1,0)</f>
        <v>0</v>
      </c>
      <c r="BG26" t="str">
        <f>IF(BE26&lt;&gt;"",IF(COUNTIF($BE$6:BE25,BE26)&gt;0,"",BE26),"")</f>
        <v/>
      </c>
      <c r="BH26" t="str">
        <f t="shared" si="30"/>
        <v/>
      </c>
      <c r="BI26">
        <f>IF(BJ26&lt;&gt;"",MAX($BI$6:BI25)+1,0)</f>
        <v>0</v>
      </c>
      <c r="BJ26" t="str">
        <f>IF(BH26&lt;&gt;"",IF(COUNTIF($BE$6:BH25,BH26)&gt;0,"",BH26),"")</f>
        <v/>
      </c>
      <c r="BK26" t="str">
        <f>設定!D22</f>
        <v>ハンマー投</v>
      </c>
      <c r="BL26" t="str">
        <f>設定!K22</f>
        <v>砲丸投</v>
      </c>
    </row>
    <row r="27" spans="1:64" ht="16.5" customHeight="1">
      <c r="A27" t="str">
        <f t="shared" si="5"/>
        <v/>
      </c>
      <c r="B27" t="str">
        <f t="shared" si="6"/>
        <v/>
      </c>
      <c r="C27">
        <f t="shared" ca="1" si="33"/>
        <v>0</v>
      </c>
      <c r="D27" t="str">
        <f t="shared" si="7"/>
        <v/>
      </c>
      <c r="E27">
        <f>IF(B27="",0,LARGE($E$5:E26,1)+1)</f>
        <v>0</v>
      </c>
      <c r="F27" s="44"/>
      <c r="G27" s="45"/>
      <c r="H27" s="7" t="str">
        <f>IF(AND(F27="",G27=""),"",VLOOKUP(学校情報!$B$5&amp;F27&amp;G27,選手データ!$A:$H,4,FALSE))</f>
        <v/>
      </c>
      <c r="I27" s="7" t="str">
        <f>IF(AND(F27="",G27=""),"",VLOOKUP(学校情報!$B$5&amp;F27&amp;G27,選手データ!$A:$H,5,FALSE))</f>
        <v/>
      </c>
      <c r="J27" s="8" t="str">
        <f>IF(AND(F27="",G27=""),"",VLOOKUP(学校情報!$B$5&amp;F27&amp;G27,選手データ!$A:$H,6,FALSE))</f>
        <v/>
      </c>
      <c r="K27" s="32" t="str">
        <f>IF(AND(F27="",G27=""),"",VLOOKUP(学校情報!$B$5&amp;F27&amp;G27,選手データ!$A:$H,8,FALSE))</f>
        <v/>
      </c>
      <c r="L27" s="7" t="str">
        <f>IF(AND(F27="",G27=""),"",VLOOKUP(学校情報!$B$5&amp;F27&amp;G27,選手データ!$A:$I,9,FALSE))</f>
        <v/>
      </c>
      <c r="M27" s="44"/>
      <c r="N27" s="46"/>
      <c r="O27" s="47"/>
      <c r="P27" s="7" t="str">
        <f t="shared" ca="1" si="34"/>
        <v/>
      </c>
      <c r="Q27" s="46"/>
      <c r="R27" s="48"/>
      <c r="S27" s="45"/>
      <c r="T27" s="49"/>
      <c r="U27" s="8" t="str">
        <f t="shared" ca="1" si="35"/>
        <v/>
      </c>
      <c r="V27" s="8" t="str">
        <f t="shared" si="36"/>
        <v/>
      </c>
      <c r="W27" s="4">
        <f t="shared" si="8"/>
        <v>0</v>
      </c>
      <c r="X27" t="b">
        <f ca="1">IF(M27="",FALSE,VLOOKUP(M27,OFFSET(設定!$D$2:$I$25,0,AA27),2,FALSE))</f>
        <v>0</v>
      </c>
      <c r="Y27" t="str">
        <f ca="1">IF(M27="","",VLOOKUP(M27,OFFSET(設定!$D$2:$I$25,0,AA27),3,FALSE))</f>
        <v/>
      </c>
      <c r="Z27" t="b">
        <f ca="1">IF(M27="",FALSE,VLOOKUP(M27,OFFSET(設定!$D$2:$I$25,0,AA27),4,FALSE))</f>
        <v>0</v>
      </c>
      <c r="AA27">
        <f t="shared" si="9"/>
        <v>7</v>
      </c>
      <c r="AB27" s="1" t="str">
        <f ca="1">IF(M27="","",IF(AND(Z27,N27="〇"),IF(VLOOKUP(M27,OFFSET(設定!$D$2:$I$25,0,AA27),5,FALSE)="-","-",LEFT(VLOOKUP(M27,OFFSET(設定!$D$2:$I$25,0,AA27),5,FALSE),INT(LEN(VLOOKUP(M27,OFFSET(設定!$D$2:$I$25,0,AA27),5,FALSE))-1))),IF(VLOOKUP(M27,OFFSET(設定!$D$2:$I$25,0,AA27),5,FALSE)="-","-",INT(VLOOKUP(M27,OFFSET(設定!$D$2:$I$25,0,AA27),5,FALSE)))))</f>
        <v/>
      </c>
      <c r="AC27" s="1" t="str">
        <f ca="1">IF(M27="","",IF(AND(Z27,N27="〇"),IF(VLOOKUP(M27,OFFSET(設定!$D$2:$I$25,0,AA27),6,FALSE)="-","-",LEFT(VLOOKUP(M27,OFFSET(設定!$D$2:$I$25,0,AA27),6,FALSE),INT(LEN(VLOOKUP(M27,OFFSET(設定!$D$2:$I$25,0,AA27),6,FALSE))-1))),IF(VLOOKUP(M27,OFFSET(設定!$D$2:$I$25,0,AA27),6,FALSE)="-","-",INT(VLOOKUP(M27,OFFSET(設定!$D$2:$I$25,0,AA27),6,FALSE)))))</f>
        <v/>
      </c>
      <c r="AD27">
        <f t="shared" si="10"/>
        <v>2</v>
      </c>
      <c r="AE27" t="str">
        <f t="shared" ca="1" si="11"/>
        <v/>
      </c>
      <c r="AF27" t="str">
        <f t="shared" ca="1" si="31"/>
        <v/>
      </c>
      <c r="AG27" t="str">
        <f t="shared" ca="1" si="12"/>
        <v/>
      </c>
      <c r="AH27" t="b">
        <f t="shared" ca="1" si="13"/>
        <v>1</v>
      </c>
      <c r="AI27" t="b">
        <f t="shared" ca="1" si="14"/>
        <v>0</v>
      </c>
      <c r="AJ27" t="b">
        <f t="shared" ca="1" si="15"/>
        <v>0</v>
      </c>
      <c r="AK27" t="b">
        <f t="shared" si="16"/>
        <v>0</v>
      </c>
      <c r="AL27" t="b">
        <f t="shared" si="17"/>
        <v>0</v>
      </c>
      <c r="AM27" t="b">
        <f t="shared" si="18"/>
        <v>0</v>
      </c>
      <c r="AN27" t="b">
        <f t="shared" si="37"/>
        <v>0</v>
      </c>
      <c r="AO27" t="b">
        <f>IF(COUNTIF($D$6:D26,F27&amp;G27&amp;W27)&gt;0,AK27,FALSE)</f>
        <v>0</v>
      </c>
      <c r="AP27" t="b">
        <f t="shared" ca="1" si="19"/>
        <v>0</v>
      </c>
      <c r="AQ27" t="b">
        <f t="shared" si="20"/>
        <v>0</v>
      </c>
      <c r="AR27" t="b">
        <f t="shared" si="32"/>
        <v>0</v>
      </c>
      <c r="AS27" t="b">
        <f t="shared" ca="1" si="21"/>
        <v>0</v>
      </c>
      <c r="AT27" t="b">
        <f t="shared" ca="1" si="22"/>
        <v>0</v>
      </c>
      <c r="AU27" t="b">
        <f ca="1">IF(COUNTIF(設定!$B$6:$B$11,SUMIF($B$6:B26,G27&amp;W27,$C$6:C26)+IF(AI27,10,IF(AJ27,1,0)))=1,FALSE,AK27)</f>
        <v>0</v>
      </c>
      <c r="AV27" t="b">
        <f t="shared" ca="1" si="23"/>
        <v>0</v>
      </c>
      <c r="AW27" t="b">
        <f t="shared" ca="1" si="24"/>
        <v>0</v>
      </c>
      <c r="AX27" t="b">
        <f t="shared" si="25"/>
        <v>0</v>
      </c>
      <c r="AY27" t="b">
        <f t="shared" si="26"/>
        <v>0</v>
      </c>
      <c r="AZ27" t="b">
        <f t="shared" si="27"/>
        <v>0</v>
      </c>
      <c r="BA27" t="b">
        <f>IF(AND(設定!$B$2&lt;=T27,T27&lt;=設定!$B$3),FALSE,AK27)</f>
        <v>0</v>
      </c>
      <c r="BC27">
        <f t="shared" ca="1" si="4"/>
        <v>0</v>
      </c>
      <c r="BD27">
        <f t="shared" si="28"/>
        <v>22</v>
      </c>
      <c r="BE27" t="str">
        <f t="shared" si="29"/>
        <v/>
      </c>
      <c r="BF27">
        <f>IF(BG27&lt;&gt;"",MAX($BF$6:BF26)+1,0)</f>
        <v>0</v>
      </c>
      <c r="BG27" t="str">
        <f>IF(BE27&lt;&gt;"",IF(COUNTIF($BE$6:BE26,BE27)&gt;0,"",BE27),"")</f>
        <v/>
      </c>
      <c r="BH27" t="str">
        <f t="shared" si="30"/>
        <v/>
      </c>
      <c r="BI27">
        <f>IF(BJ27&lt;&gt;"",MAX($BI$6:BI26)+1,0)</f>
        <v>0</v>
      </c>
      <c r="BJ27" t="str">
        <f>IF(BH27&lt;&gt;"",IF(COUNTIF($BE$6:BH26,BH27)&gt;0,"",BH27),"")</f>
        <v/>
      </c>
      <c r="BK27" t="str">
        <f>設定!D23</f>
        <v>やり投</v>
      </c>
      <c r="BL27" t="str">
        <f>設定!K23</f>
        <v>円盤投</v>
      </c>
    </row>
    <row r="28" spans="1:64" ht="16.5" customHeight="1">
      <c r="A28" t="str">
        <f t="shared" si="5"/>
        <v/>
      </c>
      <c r="B28" t="str">
        <f t="shared" si="6"/>
        <v/>
      </c>
      <c r="C28">
        <f t="shared" ca="1" si="33"/>
        <v>0</v>
      </c>
      <c r="D28" t="str">
        <f t="shared" si="7"/>
        <v/>
      </c>
      <c r="E28">
        <f>IF(B28="",0,LARGE($E$5:E27,1)+1)</f>
        <v>0</v>
      </c>
      <c r="F28" s="44"/>
      <c r="G28" s="45"/>
      <c r="H28" s="7" t="str">
        <f>IF(AND(F28="",G28=""),"",VLOOKUP(学校情報!$B$5&amp;F28&amp;G28,選手データ!$A:$H,4,FALSE))</f>
        <v/>
      </c>
      <c r="I28" s="7" t="str">
        <f>IF(AND(F28="",G28=""),"",VLOOKUP(学校情報!$B$5&amp;F28&amp;G28,選手データ!$A:$H,5,FALSE))</f>
        <v/>
      </c>
      <c r="J28" s="8" t="str">
        <f>IF(AND(F28="",G28=""),"",VLOOKUP(学校情報!$B$5&amp;F28&amp;G28,選手データ!$A:$H,6,FALSE))</f>
        <v/>
      </c>
      <c r="K28" s="32" t="str">
        <f>IF(AND(F28="",G28=""),"",VLOOKUP(学校情報!$B$5&amp;F28&amp;G28,選手データ!$A:$H,8,FALSE))</f>
        <v/>
      </c>
      <c r="L28" s="7" t="str">
        <f>IF(AND(F28="",G28=""),"",VLOOKUP(学校情報!$B$5&amp;F28&amp;G28,選手データ!$A:$I,9,FALSE))</f>
        <v/>
      </c>
      <c r="M28" s="44"/>
      <c r="N28" s="46"/>
      <c r="O28" s="47"/>
      <c r="P28" s="7" t="str">
        <f t="shared" ca="1" si="34"/>
        <v/>
      </c>
      <c r="Q28" s="46"/>
      <c r="R28" s="48"/>
      <c r="S28" s="45"/>
      <c r="T28" s="49"/>
      <c r="U28" s="8" t="str">
        <f t="shared" ca="1" si="35"/>
        <v/>
      </c>
      <c r="V28" s="8" t="str">
        <f t="shared" si="36"/>
        <v/>
      </c>
      <c r="W28" s="4">
        <f t="shared" si="8"/>
        <v>0</v>
      </c>
      <c r="X28" t="b">
        <f ca="1">IF(M28="",FALSE,VLOOKUP(M28,OFFSET(設定!$D$2:$I$25,0,AA28),2,FALSE))</f>
        <v>0</v>
      </c>
      <c r="Y28" t="str">
        <f ca="1">IF(M28="","",VLOOKUP(M28,OFFSET(設定!$D$2:$I$25,0,AA28),3,FALSE))</f>
        <v/>
      </c>
      <c r="Z28" t="b">
        <f ca="1">IF(M28="",FALSE,VLOOKUP(M28,OFFSET(設定!$D$2:$I$25,0,AA28),4,FALSE))</f>
        <v>0</v>
      </c>
      <c r="AA28">
        <f t="shared" si="9"/>
        <v>7</v>
      </c>
      <c r="AB28" s="1" t="str">
        <f ca="1">IF(M28="","",IF(AND(Z28,N28="〇"),IF(VLOOKUP(M28,OFFSET(設定!$D$2:$I$25,0,AA28),5,FALSE)="-","-",LEFT(VLOOKUP(M28,OFFSET(設定!$D$2:$I$25,0,AA28),5,FALSE),INT(LEN(VLOOKUP(M28,OFFSET(設定!$D$2:$I$25,0,AA28),5,FALSE))-1))),IF(VLOOKUP(M28,OFFSET(設定!$D$2:$I$25,0,AA28),5,FALSE)="-","-",INT(VLOOKUP(M28,OFFSET(設定!$D$2:$I$25,0,AA28),5,FALSE)))))</f>
        <v/>
      </c>
      <c r="AC28" s="1" t="str">
        <f ca="1">IF(M28="","",IF(AND(Z28,N28="〇"),IF(VLOOKUP(M28,OFFSET(設定!$D$2:$I$25,0,AA28),6,FALSE)="-","-",LEFT(VLOOKUP(M28,OFFSET(設定!$D$2:$I$25,0,AA28),6,FALSE),INT(LEN(VLOOKUP(M28,OFFSET(設定!$D$2:$I$25,0,AA28),6,FALSE))-1))),IF(VLOOKUP(M28,OFFSET(設定!$D$2:$I$25,0,AA28),6,FALSE)="-","-",INT(VLOOKUP(M28,OFFSET(設定!$D$2:$I$25,0,AA28),6,FALSE)))))</f>
        <v/>
      </c>
      <c r="AD28">
        <f t="shared" si="10"/>
        <v>2</v>
      </c>
      <c r="AE28" t="str">
        <f t="shared" ca="1" si="11"/>
        <v/>
      </c>
      <c r="AF28" t="str">
        <f t="shared" ca="1" si="31"/>
        <v/>
      </c>
      <c r="AG28" t="str">
        <f t="shared" ca="1" si="12"/>
        <v/>
      </c>
      <c r="AH28" t="b">
        <f t="shared" ca="1" si="13"/>
        <v>1</v>
      </c>
      <c r="AI28" t="b">
        <f t="shared" ca="1" si="14"/>
        <v>0</v>
      </c>
      <c r="AJ28" t="b">
        <f t="shared" ca="1" si="15"/>
        <v>0</v>
      </c>
      <c r="AK28" t="b">
        <f t="shared" si="16"/>
        <v>0</v>
      </c>
      <c r="AL28" t="b">
        <f t="shared" si="17"/>
        <v>0</v>
      </c>
      <c r="AM28" t="b">
        <f t="shared" si="18"/>
        <v>0</v>
      </c>
      <c r="AN28" t="b">
        <f t="shared" si="37"/>
        <v>0</v>
      </c>
      <c r="AO28" t="b">
        <f>IF(COUNTIF($D$6:D27,F28&amp;G28&amp;W28)&gt;0,AK28,FALSE)</f>
        <v>0</v>
      </c>
      <c r="AP28" t="b">
        <f t="shared" ca="1" si="19"/>
        <v>0</v>
      </c>
      <c r="AQ28" t="b">
        <f t="shared" si="20"/>
        <v>0</v>
      </c>
      <c r="AR28" t="b">
        <f t="shared" si="32"/>
        <v>0</v>
      </c>
      <c r="AS28" t="b">
        <f t="shared" ca="1" si="21"/>
        <v>0</v>
      </c>
      <c r="AT28" t="b">
        <f t="shared" ca="1" si="22"/>
        <v>0</v>
      </c>
      <c r="AU28" t="b">
        <f ca="1">IF(COUNTIF(設定!$B$6:$B$11,SUMIF($B$6:B27,G28&amp;W28,$C$6:C27)+IF(AI28,10,IF(AJ28,1,0)))=1,FALSE,AK28)</f>
        <v>0</v>
      </c>
      <c r="AV28" t="b">
        <f t="shared" ca="1" si="23"/>
        <v>0</v>
      </c>
      <c r="AW28" t="b">
        <f t="shared" ca="1" si="24"/>
        <v>0</v>
      </c>
      <c r="AX28" t="b">
        <f t="shared" si="25"/>
        <v>0</v>
      </c>
      <c r="AY28" t="b">
        <f t="shared" si="26"/>
        <v>0</v>
      </c>
      <c r="AZ28" t="b">
        <f t="shared" si="27"/>
        <v>0</v>
      </c>
      <c r="BA28" t="b">
        <f>IF(AND(設定!$B$2&lt;=T28,T28&lt;=設定!$B$3),FALSE,AK28)</f>
        <v>0</v>
      </c>
      <c r="BC28">
        <f t="shared" ca="1" si="4"/>
        <v>0</v>
      </c>
      <c r="BD28">
        <f t="shared" si="28"/>
        <v>23</v>
      </c>
      <c r="BE28" t="str">
        <f t="shared" si="29"/>
        <v/>
      </c>
      <c r="BF28">
        <f>IF(BG28&lt;&gt;"",MAX($BF$6:BF27)+1,0)</f>
        <v>0</v>
      </c>
      <c r="BG28" t="str">
        <f>IF(BE28&lt;&gt;"",IF(COUNTIF($BE$6:BE27,BE28)&gt;0,"",BE28),"")</f>
        <v/>
      </c>
      <c r="BH28" t="str">
        <f t="shared" si="30"/>
        <v/>
      </c>
      <c r="BI28">
        <f>IF(BJ28&lt;&gt;"",MAX($BI$6:BI27)+1,0)</f>
        <v>0</v>
      </c>
      <c r="BJ28" t="str">
        <f>IF(BH28&lt;&gt;"",IF(COUNTIF($BE$6:BH27,BH28)&gt;0,"",BH28),"")</f>
        <v/>
      </c>
      <c r="BL28" t="str">
        <f>設定!K24</f>
        <v>ハンマー投</v>
      </c>
    </row>
    <row r="29" spans="1:64" ht="16.5" customHeight="1">
      <c r="A29" t="str">
        <f t="shared" si="5"/>
        <v/>
      </c>
      <c r="B29" t="str">
        <f t="shared" si="6"/>
        <v/>
      </c>
      <c r="C29">
        <f t="shared" ca="1" si="33"/>
        <v>0</v>
      </c>
      <c r="D29" t="str">
        <f t="shared" si="7"/>
        <v/>
      </c>
      <c r="E29">
        <f>IF(B29="",0,LARGE($E$5:E28,1)+1)</f>
        <v>0</v>
      </c>
      <c r="F29" s="44"/>
      <c r="G29" s="45"/>
      <c r="H29" s="7" t="str">
        <f>IF(AND(F29="",G29=""),"",VLOOKUP(学校情報!$B$5&amp;F29&amp;G29,選手データ!$A:$H,4,FALSE))</f>
        <v/>
      </c>
      <c r="I29" s="7" t="str">
        <f>IF(AND(F29="",G29=""),"",VLOOKUP(学校情報!$B$5&amp;F29&amp;G29,選手データ!$A:$H,5,FALSE))</f>
        <v/>
      </c>
      <c r="J29" s="8" t="str">
        <f>IF(AND(F29="",G29=""),"",VLOOKUP(学校情報!$B$5&amp;F29&amp;G29,選手データ!$A:$H,6,FALSE))</f>
        <v/>
      </c>
      <c r="K29" s="32" t="str">
        <f>IF(AND(F29="",G29=""),"",VLOOKUP(学校情報!$B$5&amp;F29&amp;G29,選手データ!$A:$H,8,FALSE))</f>
        <v/>
      </c>
      <c r="L29" s="7" t="str">
        <f>IF(AND(F29="",G29=""),"",VLOOKUP(学校情報!$B$5&amp;F29&amp;G29,選手データ!$A:$I,9,FALSE))</f>
        <v/>
      </c>
      <c r="M29" s="44"/>
      <c r="N29" s="46"/>
      <c r="O29" s="47"/>
      <c r="P29" s="7" t="str">
        <f t="shared" ca="1" si="34"/>
        <v/>
      </c>
      <c r="Q29" s="46"/>
      <c r="R29" s="48"/>
      <c r="S29" s="45"/>
      <c r="T29" s="49"/>
      <c r="U29" s="8" t="str">
        <f t="shared" ca="1" si="35"/>
        <v/>
      </c>
      <c r="V29" s="8" t="str">
        <f t="shared" si="36"/>
        <v/>
      </c>
      <c r="W29" s="4">
        <f t="shared" si="8"/>
        <v>0</v>
      </c>
      <c r="X29" t="b">
        <f ca="1">IF(M29="",FALSE,VLOOKUP(M29,OFFSET(設定!$D$2:$I$25,0,AA29),2,FALSE))</f>
        <v>0</v>
      </c>
      <c r="Y29" t="str">
        <f ca="1">IF(M29="","",VLOOKUP(M29,OFFSET(設定!$D$2:$I$25,0,AA29),3,FALSE))</f>
        <v/>
      </c>
      <c r="Z29" t="b">
        <f ca="1">IF(M29="",FALSE,VLOOKUP(M29,OFFSET(設定!$D$2:$I$25,0,AA29),4,FALSE))</f>
        <v>0</v>
      </c>
      <c r="AA29">
        <f t="shared" si="9"/>
        <v>7</v>
      </c>
      <c r="AB29" s="1" t="str">
        <f ca="1">IF(M29="","",IF(AND(Z29,N29="〇"),IF(VLOOKUP(M29,OFFSET(設定!$D$2:$I$25,0,AA29),5,FALSE)="-","-",LEFT(VLOOKUP(M29,OFFSET(設定!$D$2:$I$25,0,AA29),5,FALSE),INT(LEN(VLOOKUP(M29,OFFSET(設定!$D$2:$I$25,0,AA29),5,FALSE))-1))),IF(VLOOKUP(M29,OFFSET(設定!$D$2:$I$25,0,AA29),5,FALSE)="-","-",INT(VLOOKUP(M29,OFFSET(設定!$D$2:$I$25,0,AA29),5,FALSE)))))</f>
        <v/>
      </c>
      <c r="AC29" s="1" t="str">
        <f ca="1">IF(M29="","",IF(AND(Z29,N29="〇"),IF(VLOOKUP(M29,OFFSET(設定!$D$2:$I$25,0,AA29),6,FALSE)="-","-",LEFT(VLOOKUP(M29,OFFSET(設定!$D$2:$I$25,0,AA29),6,FALSE),INT(LEN(VLOOKUP(M29,OFFSET(設定!$D$2:$I$25,0,AA29),6,FALSE))-1))),IF(VLOOKUP(M29,OFFSET(設定!$D$2:$I$25,0,AA29),6,FALSE)="-","-",INT(VLOOKUP(M29,OFFSET(設定!$D$2:$I$25,0,AA29),6,FALSE)))))</f>
        <v/>
      </c>
      <c r="AD29">
        <f t="shared" si="10"/>
        <v>2</v>
      </c>
      <c r="AE29" t="str">
        <f t="shared" ca="1" si="11"/>
        <v/>
      </c>
      <c r="AF29" t="str">
        <f t="shared" ca="1" si="31"/>
        <v/>
      </c>
      <c r="AG29" t="str">
        <f t="shared" ca="1" si="12"/>
        <v/>
      </c>
      <c r="AH29" t="b">
        <f t="shared" ca="1" si="13"/>
        <v>1</v>
      </c>
      <c r="AI29" t="b">
        <f t="shared" ca="1" si="14"/>
        <v>0</v>
      </c>
      <c r="AJ29" t="b">
        <f t="shared" ca="1" si="15"/>
        <v>0</v>
      </c>
      <c r="AK29" t="b">
        <f t="shared" si="16"/>
        <v>0</v>
      </c>
      <c r="AL29" t="b">
        <f t="shared" si="17"/>
        <v>0</v>
      </c>
      <c r="AM29" t="b">
        <f t="shared" si="18"/>
        <v>0</v>
      </c>
      <c r="AN29" t="b">
        <f t="shared" si="37"/>
        <v>0</v>
      </c>
      <c r="AO29" t="b">
        <f>IF(COUNTIF($D$6:D28,F29&amp;G29&amp;W29)&gt;0,AK29,FALSE)</f>
        <v>0</v>
      </c>
      <c r="AP29" t="b">
        <f t="shared" ca="1" si="19"/>
        <v>0</v>
      </c>
      <c r="AQ29" t="b">
        <f t="shared" si="20"/>
        <v>0</v>
      </c>
      <c r="AR29" t="b">
        <f t="shared" si="32"/>
        <v>0</v>
      </c>
      <c r="AS29" t="b">
        <f t="shared" ca="1" si="21"/>
        <v>0</v>
      </c>
      <c r="AT29" t="b">
        <f t="shared" ca="1" si="22"/>
        <v>0</v>
      </c>
      <c r="AU29" t="b">
        <f ca="1">IF(COUNTIF(設定!$B$6:$B$11,SUMIF($B$6:B28,G29&amp;W29,$C$6:C28)+IF(AI29,10,IF(AJ29,1,0)))=1,FALSE,AK29)</f>
        <v>0</v>
      </c>
      <c r="AV29" t="b">
        <f t="shared" ca="1" si="23"/>
        <v>0</v>
      </c>
      <c r="AW29" t="b">
        <f t="shared" ca="1" si="24"/>
        <v>0</v>
      </c>
      <c r="AX29" t="b">
        <f t="shared" si="25"/>
        <v>0</v>
      </c>
      <c r="AY29" t="b">
        <f t="shared" si="26"/>
        <v>0</v>
      </c>
      <c r="AZ29" t="b">
        <f t="shared" si="27"/>
        <v>0</v>
      </c>
      <c r="BA29" t="b">
        <f>IF(AND(設定!$B$2&lt;=T29,T29&lt;=設定!$B$3),FALSE,AK29)</f>
        <v>0</v>
      </c>
      <c r="BC29">
        <f t="shared" ca="1" si="4"/>
        <v>0</v>
      </c>
      <c r="BD29">
        <f t="shared" si="28"/>
        <v>24</v>
      </c>
      <c r="BE29" t="str">
        <f t="shared" si="29"/>
        <v/>
      </c>
      <c r="BF29">
        <f>IF(BG29&lt;&gt;"",MAX($BF$6:BF28)+1,0)</f>
        <v>0</v>
      </c>
      <c r="BG29" t="str">
        <f>IF(BE29&lt;&gt;"",IF(COUNTIF($BE$6:BE28,BE29)&gt;0,"",BE29),"")</f>
        <v/>
      </c>
      <c r="BH29" t="str">
        <f t="shared" si="30"/>
        <v/>
      </c>
      <c r="BI29">
        <f>IF(BJ29&lt;&gt;"",MAX($BI$6:BI28)+1,0)</f>
        <v>0</v>
      </c>
      <c r="BJ29" t="str">
        <f>IF(BH29&lt;&gt;"",IF(COUNTIF($BE$6:BH28,BH29)&gt;0,"",BH29),"")</f>
        <v/>
      </c>
      <c r="BL29" t="str">
        <f>設定!K25</f>
        <v>やり投</v>
      </c>
    </row>
    <row r="30" spans="1:64" ht="16.5" customHeight="1">
      <c r="A30" t="str">
        <f t="shared" si="5"/>
        <v/>
      </c>
      <c r="B30" t="str">
        <f t="shared" si="6"/>
        <v/>
      </c>
      <c r="C30">
        <f t="shared" ca="1" si="33"/>
        <v>0</v>
      </c>
      <c r="D30" t="str">
        <f t="shared" si="7"/>
        <v/>
      </c>
      <c r="E30">
        <f>IF(B30="",0,LARGE($E$5:E29,1)+1)</f>
        <v>0</v>
      </c>
      <c r="F30" s="44"/>
      <c r="G30" s="45"/>
      <c r="H30" s="7" t="str">
        <f>IF(AND(F30="",G30=""),"",VLOOKUP(学校情報!$B$5&amp;F30&amp;G30,選手データ!$A:$H,4,FALSE))</f>
        <v/>
      </c>
      <c r="I30" s="7" t="str">
        <f>IF(AND(F30="",G30=""),"",VLOOKUP(学校情報!$B$5&amp;F30&amp;G30,選手データ!$A:$H,5,FALSE))</f>
        <v/>
      </c>
      <c r="J30" s="8" t="str">
        <f>IF(AND(F30="",G30=""),"",VLOOKUP(学校情報!$B$5&amp;F30&amp;G30,選手データ!$A:$H,6,FALSE))</f>
        <v/>
      </c>
      <c r="K30" s="32" t="str">
        <f>IF(AND(F30="",G30=""),"",VLOOKUP(学校情報!$B$5&amp;F30&amp;G30,選手データ!$A:$H,8,FALSE))</f>
        <v/>
      </c>
      <c r="L30" s="7" t="str">
        <f>IF(AND(F30="",G30=""),"",VLOOKUP(学校情報!$B$5&amp;F30&amp;G30,選手データ!$A:$I,9,FALSE))</f>
        <v/>
      </c>
      <c r="M30" s="44"/>
      <c r="N30" s="46"/>
      <c r="O30" s="47"/>
      <c r="P30" s="7" t="str">
        <f t="shared" ca="1" si="34"/>
        <v/>
      </c>
      <c r="Q30" s="46"/>
      <c r="R30" s="48"/>
      <c r="S30" s="45"/>
      <c r="T30" s="49"/>
      <c r="U30" s="8" t="str">
        <f t="shared" ca="1" si="35"/>
        <v/>
      </c>
      <c r="V30" s="8" t="str">
        <f t="shared" si="36"/>
        <v/>
      </c>
      <c r="W30" s="4">
        <f t="shared" si="8"/>
        <v>0</v>
      </c>
      <c r="X30" t="b">
        <f ca="1">IF(M30="",FALSE,VLOOKUP(M30,OFFSET(設定!$D$2:$I$25,0,AA30),2,FALSE))</f>
        <v>0</v>
      </c>
      <c r="Y30" t="str">
        <f ca="1">IF(M30="","",VLOOKUP(M30,OFFSET(設定!$D$2:$I$25,0,AA30),3,FALSE))</f>
        <v/>
      </c>
      <c r="Z30" t="b">
        <f ca="1">IF(M30="",FALSE,VLOOKUP(M30,OFFSET(設定!$D$2:$I$25,0,AA30),4,FALSE))</f>
        <v>0</v>
      </c>
      <c r="AA30">
        <f t="shared" si="9"/>
        <v>7</v>
      </c>
      <c r="AB30" s="1" t="str">
        <f ca="1">IF(M30="","",IF(AND(Z30,N30="〇"),IF(VLOOKUP(M30,OFFSET(設定!$D$2:$I$25,0,AA30),5,FALSE)="-","-",LEFT(VLOOKUP(M30,OFFSET(設定!$D$2:$I$25,0,AA30),5,FALSE),INT(LEN(VLOOKUP(M30,OFFSET(設定!$D$2:$I$25,0,AA30),5,FALSE))-1))),IF(VLOOKUP(M30,OFFSET(設定!$D$2:$I$25,0,AA30),5,FALSE)="-","-",INT(VLOOKUP(M30,OFFSET(設定!$D$2:$I$25,0,AA30),5,FALSE)))))</f>
        <v/>
      </c>
      <c r="AC30" s="1" t="str">
        <f ca="1">IF(M30="","",IF(AND(Z30,N30="〇"),IF(VLOOKUP(M30,OFFSET(設定!$D$2:$I$25,0,AA30),6,FALSE)="-","-",LEFT(VLOOKUP(M30,OFFSET(設定!$D$2:$I$25,0,AA30),6,FALSE),INT(LEN(VLOOKUP(M30,OFFSET(設定!$D$2:$I$25,0,AA30),6,FALSE))-1))),IF(VLOOKUP(M30,OFFSET(設定!$D$2:$I$25,0,AA30),6,FALSE)="-","-",INT(VLOOKUP(M30,OFFSET(設定!$D$2:$I$25,0,AA30),6,FALSE)))))</f>
        <v/>
      </c>
      <c r="AD30">
        <f t="shared" si="10"/>
        <v>2</v>
      </c>
      <c r="AE30" t="str">
        <f t="shared" ca="1" si="11"/>
        <v/>
      </c>
      <c r="AF30" t="str">
        <f t="shared" ca="1" si="31"/>
        <v/>
      </c>
      <c r="AG30" t="str">
        <f t="shared" ca="1" si="12"/>
        <v/>
      </c>
      <c r="AH30" t="b">
        <f t="shared" ca="1" si="13"/>
        <v>1</v>
      </c>
      <c r="AI30" t="b">
        <f t="shared" ca="1" si="14"/>
        <v>0</v>
      </c>
      <c r="AJ30" t="b">
        <f t="shared" ca="1" si="15"/>
        <v>0</v>
      </c>
      <c r="AK30" t="b">
        <f t="shared" si="16"/>
        <v>0</v>
      </c>
      <c r="AL30" t="b">
        <f t="shared" si="17"/>
        <v>0</v>
      </c>
      <c r="AM30" t="b">
        <f t="shared" si="18"/>
        <v>0</v>
      </c>
      <c r="AN30" t="b">
        <f t="shared" si="37"/>
        <v>0</v>
      </c>
      <c r="AO30" t="b">
        <f>IF(COUNTIF($D$6:D29,F30&amp;G30&amp;W30)&gt;0,AK30,FALSE)</f>
        <v>0</v>
      </c>
      <c r="AP30" t="b">
        <f t="shared" ca="1" si="19"/>
        <v>0</v>
      </c>
      <c r="AQ30" t="b">
        <f t="shared" si="20"/>
        <v>0</v>
      </c>
      <c r="AR30" t="b">
        <f t="shared" si="32"/>
        <v>0</v>
      </c>
      <c r="AS30" t="b">
        <f t="shared" ca="1" si="21"/>
        <v>0</v>
      </c>
      <c r="AT30" t="b">
        <f t="shared" ca="1" si="22"/>
        <v>0</v>
      </c>
      <c r="AU30" t="b">
        <f ca="1">IF(COUNTIF(設定!$B$6:$B$11,SUMIF($B$6:B29,G30&amp;W30,$C$6:C29)+IF(AI30,10,IF(AJ30,1,0)))=1,FALSE,AK30)</f>
        <v>0</v>
      </c>
      <c r="AV30" t="b">
        <f t="shared" ca="1" si="23"/>
        <v>0</v>
      </c>
      <c r="AW30" t="b">
        <f t="shared" ca="1" si="24"/>
        <v>0</v>
      </c>
      <c r="AX30" t="b">
        <f t="shared" si="25"/>
        <v>0</v>
      </c>
      <c r="AY30" t="b">
        <f t="shared" si="26"/>
        <v>0</v>
      </c>
      <c r="AZ30" t="b">
        <f t="shared" si="27"/>
        <v>0</v>
      </c>
      <c r="BA30" t="b">
        <f>IF(AND(設定!$B$2&lt;=T30,T30&lt;=設定!$B$3),FALSE,AK30)</f>
        <v>0</v>
      </c>
      <c r="BC30">
        <f t="shared" ca="1" si="4"/>
        <v>0</v>
      </c>
      <c r="BD30">
        <f t="shared" si="28"/>
        <v>25</v>
      </c>
      <c r="BE30" t="str">
        <f t="shared" si="29"/>
        <v/>
      </c>
      <c r="BF30">
        <f>IF(BG30&lt;&gt;"",MAX($BF$6:BF29)+1,0)</f>
        <v>0</v>
      </c>
      <c r="BG30" t="str">
        <f>IF(BE30&lt;&gt;"",IF(COUNTIF($BE$6:BE29,BE30)&gt;0,"",BE30),"")</f>
        <v/>
      </c>
      <c r="BH30" t="str">
        <f t="shared" si="30"/>
        <v/>
      </c>
      <c r="BI30">
        <f>IF(BJ30&lt;&gt;"",MAX($BI$6:BI29)+1,0)</f>
        <v>0</v>
      </c>
      <c r="BJ30" t="str">
        <f>IF(BH30&lt;&gt;"",IF(COUNTIF($BE$6:BH29,BH30)&gt;0,"",BH30),"")</f>
        <v/>
      </c>
    </row>
    <row r="31" spans="1:64" ht="16.5" customHeight="1">
      <c r="A31" t="str">
        <f t="shared" si="5"/>
        <v/>
      </c>
      <c r="B31" t="str">
        <f t="shared" si="6"/>
        <v/>
      </c>
      <c r="C31">
        <f t="shared" ca="1" si="33"/>
        <v>0</v>
      </c>
      <c r="D31" t="str">
        <f t="shared" si="7"/>
        <v/>
      </c>
      <c r="E31">
        <f>IF(B31="",0,LARGE($E$5:E30,1)+1)</f>
        <v>0</v>
      </c>
      <c r="F31" s="44"/>
      <c r="G31" s="45"/>
      <c r="H31" s="7" t="str">
        <f>IF(AND(F31="",G31=""),"",VLOOKUP(学校情報!$B$5&amp;F31&amp;G31,選手データ!$A:$H,4,FALSE))</f>
        <v/>
      </c>
      <c r="I31" s="7" t="str">
        <f>IF(AND(F31="",G31=""),"",VLOOKUP(学校情報!$B$5&amp;F31&amp;G31,選手データ!$A:$H,5,FALSE))</f>
        <v/>
      </c>
      <c r="J31" s="8" t="str">
        <f>IF(AND(F31="",G31=""),"",VLOOKUP(学校情報!$B$5&amp;F31&amp;G31,選手データ!$A:$H,6,FALSE))</f>
        <v/>
      </c>
      <c r="K31" s="32" t="str">
        <f>IF(AND(F31="",G31=""),"",VLOOKUP(学校情報!$B$5&amp;F31&amp;G31,選手データ!$A:$H,8,FALSE))</f>
        <v/>
      </c>
      <c r="L31" s="7" t="str">
        <f>IF(AND(F31="",G31=""),"",VLOOKUP(学校情報!$B$5&amp;F31&amp;G31,選手データ!$A:$I,9,FALSE))</f>
        <v/>
      </c>
      <c r="M31" s="44"/>
      <c r="N31" s="46"/>
      <c r="O31" s="47"/>
      <c r="P31" s="7" t="str">
        <f t="shared" ca="1" si="34"/>
        <v/>
      </c>
      <c r="Q31" s="46"/>
      <c r="R31" s="48"/>
      <c r="S31" s="45"/>
      <c r="T31" s="49"/>
      <c r="U31" s="8" t="str">
        <f t="shared" ca="1" si="35"/>
        <v/>
      </c>
      <c r="V31" s="8" t="str">
        <f t="shared" si="36"/>
        <v/>
      </c>
      <c r="W31" s="4">
        <f t="shared" si="8"/>
        <v>0</v>
      </c>
      <c r="X31" t="b">
        <f ca="1">IF(M31="",FALSE,VLOOKUP(M31,OFFSET(設定!$D$2:$I$25,0,AA31),2,FALSE))</f>
        <v>0</v>
      </c>
      <c r="Y31" t="str">
        <f ca="1">IF(M31="","",VLOOKUP(M31,OFFSET(設定!$D$2:$I$25,0,AA31),3,FALSE))</f>
        <v/>
      </c>
      <c r="Z31" t="b">
        <f ca="1">IF(M31="",FALSE,VLOOKUP(M31,OFFSET(設定!$D$2:$I$25,0,AA31),4,FALSE))</f>
        <v>0</v>
      </c>
      <c r="AA31">
        <f t="shared" si="9"/>
        <v>7</v>
      </c>
      <c r="AB31" s="1" t="str">
        <f ca="1">IF(M31="","",IF(AND(Z31,N31="〇"),IF(VLOOKUP(M31,OFFSET(設定!$D$2:$I$25,0,AA31),5,FALSE)="-","-",LEFT(VLOOKUP(M31,OFFSET(設定!$D$2:$I$25,0,AA31),5,FALSE),INT(LEN(VLOOKUP(M31,OFFSET(設定!$D$2:$I$25,0,AA31),5,FALSE))-1))),IF(VLOOKUP(M31,OFFSET(設定!$D$2:$I$25,0,AA31),5,FALSE)="-","-",INT(VLOOKUP(M31,OFFSET(設定!$D$2:$I$25,0,AA31),5,FALSE)))))</f>
        <v/>
      </c>
      <c r="AC31" s="1" t="str">
        <f ca="1">IF(M31="","",IF(AND(Z31,N31="〇"),IF(VLOOKUP(M31,OFFSET(設定!$D$2:$I$25,0,AA31),6,FALSE)="-","-",LEFT(VLOOKUP(M31,OFFSET(設定!$D$2:$I$25,0,AA31),6,FALSE),INT(LEN(VLOOKUP(M31,OFFSET(設定!$D$2:$I$25,0,AA31),6,FALSE))-1))),IF(VLOOKUP(M31,OFFSET(設定!$D$2:$I$25,0,AA31),6,FALSE)="-","-",INT(VLOOKUP(M31,OFFSET(設定!$D$2:$I$25,0,AA31),6,FALSE)))))</f>
        <v/>
      </c>
      <c r="AD31">
        <f t="shared" si="10"/>
        <v>2</v>
      </c>
      <c r="AE31" t="str">
        <f t="shared" ca="1" si="11"/>
        <v/>
      </c>
      <c r="AF31" t="str">
        <f t="shared" ca="1" si="31"/>
        <v/>
      </c>
      <c r="AG31" t="str">
        <f t="shared" ca="1" si="12"/>
        <v/>
      </c>
      <c r="AH31" t="b">
        <f t="shared" ca="1" si="13"/>
        <v>1</v>
      </c>
      <c r="AI31" t="b">
        <f t="shared" ca="1" si="14"/>
        <v>0</v>
      </c>
      <c r="AJ31" t="b">
        <f t="shared" ca="1" si="15"/>
        <v>0</v>
      </c>
      <c r="AK31" t="b">
        <f t="shared" si="16"/>
        <v>0</v>
      </c>
      <c r="AL31" t="b">
        <f t="shared" si="17"/>
        <v>0</v>
      </c>
      <c r="AM31" t="b">
        <f t="shared" si="18"/>
        <v>0</v>
      </c>
      <c r="AN31" t="b">
        <f t="shared" si="37"/>
        <v>0</v>
      </c>
      <c r="AO31" t="b">
        <f>IF(COUNTIF($D$6:D30,F31&amp;G31&amp;W31)&gt;0,AK31,FALSE)</f>
        <v>0</v>
      </c>
      <c r="AP31" t="b">
        <f t="shared" ca="1" si="19"/>
        <v>0</v>
      </c>
      <c r="AQ31" t="b">
        <f t="shared" si="20"/>
        <v>0</v>
      </c>
      <c r="AR31" t="b">
        <f t="shared" si="32"/>
        <v>0</v>
      </c>
      <c r="AS31" t="b">
        <f t="shared" ca="1" si="21"/>
        <v>0</v>
      </c>
      <c r="AT31" t="b">
        <f t="shared" ca="1" si="22"/>
        <v>0</v>
      </c>
      <c r="AU31" t="b">
        <f ca="1">IF(COUNTIF(設定!$B$6:$B$11,SUMIF($B$6:B30,G31&amp;W31,$C$6:C30)+IF(AI31,10,IF(AJ31,1,0)))=1,FALSE,AK31)</f>
        <v>0</v>
      </c>
      <c r="AV31" t="b">
        <f t="shared" ca="1" si="23"/>
        <v>0</v>
      </c>
      <c r="AW31" t="b">
        <f t="shared" ca="1" si="24"/>
        <v>0</v>
      </c>
      <c r="AX31" t="b">
        <f t="shared" si="25"/>
        <v>0</v>
      </c>
      <c r="AY31" t="b">
        <f t="shared" si="26"/>
        <v>0</v>
      </c>
      <c r="AZ31" t="b">
        <f t="shared" si="27"/>
        <v>0</v>
      </c>
      <c r="BA31" t="b">
        <f>IF(AND(設定!$B$2&lt;=T31,T31&lt;=設定!$B$3),FALSE,AK31)</f>
        <v>0</v>
      </c>
      <c r="BC31">
        <f t="shared" ca="1" si="4"/>
        <v>0</v>
      </c>
      <c r="BD31">
        <f t="shared" si="28"/>
        <v>26</v>
      </c>
      <c r="BE31" t="str">
        <f t="shared" si="29"/>
        <v/>
      </c>
      <c r="BF31">
        <f>IF(BG31&lt;&gt;"",MAX($BF$6:BF30)+1,0)</f>
        <v>0</v>
      </c>
      <c r="BG31" t="str">
        <f>IF(BE31&lt;&gt;"",IF(COUNTIF($BE$6:BE30,BE31)&gt;0,"",BE31),"")</f>
        <v/>
      </c>
      <c r="BH31" t="str">
        <f t="shared" si="30"/>
        <v/>
      </c>
      <c r="BI31">
        <f>IF(BJ31&lt;&gt;"",MAX($BI$6:BI30)+1,0)</f>
        <v>0</v>
      </c>
      <c r="BJ31" t="str">
        <f>IF(BH31&lt;&gt;"",IF(COUNTIF($BE$6:BH30,BH31)&gt;0,"",BH31),"")</f>
        <v/>
      </c>
    </row>
    <row r="32" spans="1:64" ht="16.5" customHeight="1">
      <c r="A32" t="str">
        <f t="shared" si="5"/>
        <v/>
      </c>
      <c r="B32" t="str">
        <f t="shared" si="6"/>
        <v/>
      </c>
      <c r="C32">
        <f t="shared" ca="1" si="33"/>
        <v>0</v>
      </c>
      <c r="D32" t="str">
        <f t="shared" si="7"/>
        <v/>
      </c>
      <c r="E32">
        <f>IF(B32="",0,LARGE($E$5:E31,1)+1)</f>
        <v>0</v>
      </c>
      <c r="F32" s="44"/>
      <c r="G32" s="45"/>
      <c r="H32" s="7" t="str">
        <f>IF(AND(F32="",G32=""),"",VLOOKUP(学校情報!$B$5&amp;F32&amp;G32,選手データ!$A:$H,4,FALSE))</f>
        <v/>
      </c>
      <c r="I32" s="7" t="str">
        <f>IF(AND(F32="",G32=""),"",VLOOKUP(学校情報!$B$5&amp;F32&amp;G32,選手データ!$A:$H,5,FALSE))</f>
        <v/>
      </c>
      <c r="J32" s="8" t="str">
        <f>IF(AND(F32="",G32=""),"",VLOOKUP(学校情報!$B$5&amp;F32&amp;G32,選手データ!$A:$H,6,FALSE))</f>
        <v/>
      </c>
      <c r="K32" s="32" t="str">
        <f>IF(AND(F32="",G32=""),"",VLOOKUP(学校情報!$B$5&amp;F32&amp;G32,選手データ!$A:$H,8,FALSE))</f>
        <v/>
      </c>
      <c r="L32" s="7" t="str">
        <f>IF(AND(F32="",G32=""),"",VLOOKUP(学校情報!$B$5&amp;F32&amp;G32,選手データ!$A:$I,9,FALSE))</f>
        <v/>
      </c>
      <c r="M32" s="44"/>
      <c r="N32" s="46"/>
      <c r="O32" s="47"/>
      <c r="P32" s="7" t="str">
        <f t="shared" ca="1" si="34"/>
        <v/>
      </c>
      <c r="Q32" s="46"/>
      <c r="R32" s="48"/>
      <c r="S32" s="45"/>
      <c r="T32" s="49"/>
      <c r="U32" s="8" t="str">
        <f t="shared" ca="1" si="35"/>
        <v/>
      </c>
      <c r="V32" s="8" t="str">
        <f t="shared" si="36"/>
        <v/>
      </c>
      <c r="W32" s="4">
        <f t="shared" si="8"/>
        <v>0</v>
      </c>
      <c r="X32" t="b">
        <f ca="1">IF(M32="",FALSE,VLOOKUP(M32,OFFSET(設定!$D$2:$I$25,0,AA32),2,FALSE))</f>
        <v>0</v>
      </c>
      <c r="Y32" t="str">
        <f ca="1">IF(M32="","",VLOOKUP(M32,OFFSET(設定!$D$2:$I$25,0,AA32),3,FALSE))</f>
        <v/>
      </c>
      <c r="Z32" t="b">
        <f ca="1">IF(M32="",FALSE,VLOOKUP(M32,OFFSET(設定!$D$2:$I$25,0,AA32),4,FALSE))</f>
        <v>0</v>
      </c>
      <c r="AA32">
        <f t="shared" si="9"/>
        <v>7</v>
      </c>
      <c r="AB32" s="1" t="str">
        <f ca="1">IF(M32="","",IF(AND(Z32,N32="〇"),IF(VLOOKUP(M32,OFFSET(設定!$D$2:$I$25,0,AA32),5,FALSE)="-","-",LEFT(VLOOKUP(M32,OFFSET(設定!$D$2:$I$25,0,AA32),5,FALSE),INT(LEN(VLOOKUP(M32,OFFSET(設定!$D$2:$I$25,0,AA32),5,FALSE))-1))),IF(VLOOKUP(M32,OFFSET(設定!$D$2:$I$25,0,AA32),5,FALSE)="-","-",INT(VLOOKUP(M32,OFFSET(設定!$D$2:$I$25,0,AA32),5,FALSE)))))</f>
        <v/>
      </c>
      <c r="AC32" s="1" t="str">
        <f ca="1">IF(M32="","",IF(AND(Z32,N32="〇"),IF(VLOOKUP(M32,OFFSET(設定!$D$2:$I$25,0,AA32),6,FALSE)="-","-",LEFT(VLOOKUP(M32,OFFSET(設定!$D$2:$I$25,0,AA32),6,FALSE),INT(LEN(VLOOKUP(M32,OFFSET(設定!$D$2:$I$25,0,AA32),6,FALSE))-1))),IF(VLOOKUP(M32,OFFSET(設定!$D$2:$I$25,0,AA32),6,FALSE)="-","-",INT(VLOOKUP(M32,OFFSET(設定!$D$2:$I$25,0,AA32),6,FALSE)))))</f>
        <v/>
      </c>
      <c r="AD32">
        <f t="shared" si="10"/>
        <v>2</v>
      </c>
      <c r="AE32" t="str">
        <f t="shared" ca="1" si="11"/>
        <v/>
      </c>
      <c r="AF32" t="str">
        <f t="shared" ca="1" si="31"/>
        <v/>
      </c>
      <c r="AG32" t="str">
        <f t="shared" ca="1" si="12"/>
        <v/>
      </c>
      <c r="AH32" t="b">
        <f t="shared" ca="1" si="13"/>
        <v>1</v>
      </c>
      <c r="AI32" t="b">
        <f t="shared" ca="1" si="14"/>
        <v>0</v>
      </c>
      <c r="AJ32" t="b">
        <f t="shared" ca="1" si="15"/>
        <v>0</v>
      </c>
      <c r="AK32" t="b">
        <f t="shared" si="16"/>
        <v>0</v>
      </c>
      <c r="AL32" t="b">
        <f t="shared" si="17"/>
        <v>0</v>
      </c>
      <c r="AM32" t="b">
        <f t="shared" si="18"/>
        <v>0</v>
      </c>
      <c r="AN32" t="b">
        <f t="shared" si="37"/>
        <v>0</v>
      </c>
      <c r="AO32" t="b">
        <f>IF(COUNTIF($D$6:D31,F32&amp;G32&amp;W32)&gt;0,AK32,FALSE)</f>
        <v>0</v>
      </c>
      <c r="AP32" t="b">
        <f t="shared" ca="1" si="19"/>
        <v>0</v>
      </c>
      <c r="AQ32" t="b">
        <f t="shared" si="20"/>
        <v>0</v>
      </c>
      <c r="AR32" t="b">
        <f t="shared" si="32"/>
        <v>0</v>
      </c>
      <c r="AS32" t="b">
        <f t="shared" ca="1" si="21"/>
        <v>0</v>
      </c>
      <c r="AT32" t="b">
        <f t="shared" ca="1" si="22"/>
        <v>0</v>
      </c>
      <c r="AU32" t="b">
        <f ca="1">IF(COUNTIF(設定!$B$6:$B$11,SUMIF($B$6:B31,G32&amp;W32,$C$6:C31)+IF(AI32,10,IF(AJ32,1,0)))=1,FALSE,AK32)</f>
        <v>0</v>
      </c>
      <c r="AV32" t="b">
        <f t="shared" ca="1" si="23"/>
        <v>0</v>
      </c>
      <c r="AW32" t="b">
        <f t="shared" ca="1" si="24"/>
        <v>0</v>
      </c>
      <c r="AX32" t="b">
        <f t="shared" si="25"/>
        <v>0</v>
      </c>
      <c r="AY32" t="b">
        <f t="shared" si="26"/>
        <v>0</v>
      </c>
      <c r="AZ32" t="b">
        <f t="shared" si="27"/>
        <v>0</v>
      </c>
      <c r="BA32" t="b">
        <f>IF(AND(設定!$B$2&lt;=T32,T32&lt;=設定!$B$3),FALSE,AK32)</f>
        <v>0</v>
      </c>
      <c r="BC32">
        <f t="shared" ca="1" si="4"/>
        <v>0</v>
      </c>
      <c r="BD32">
        <f t="shared" si="28"/>
        <v>27</v>
      </c>
      <c r="BE32" t="str">
        <f t="shared" si="29"/>
        <v/>
      </c>
      <c r="BF32">
        <f>IF(BG32&lt;&gt;"",MAX($BF$6:BF31)+1,0)</f>
        <v>0</v>
      </c>
      <c r="BG32" t="str">
        <f>IF(BE32&lt;&gt;"",IF(COUNTIF($BE$6:BE31,BE32)&gt;0,"",BE32),"")</f>
        <v/>
      </c>
      <c r="BH32" t="str">
        <f t="shared" si="30"/>
        <v/>
      </c>
      <c r="BI32">
        <f>IF(BJ32&lt;&gt;"",MAX($BI$6:BI31)+1,0)</f>
        <v>0</v>
      </c>
      <c r="BJ32" t="str">
        <f>IF(BH32&lt;&gt;"",IF(COUNTIF($BE$6:BH31,BH32)&gt;0,"",BH32),"")</f>
        <v/>
      </c>
    </row>
    <row r="33" spans="1:62" ht="16.5" customHeight="1">
      <c r="A33" t="str">
        <f t="shared" si="5"/>
        <v/>
      </c>
      <c r="B33" t="str">
        <f t="shared" si="6"/>
        <v/>
      </c>
      <c r="C33">
        <f t="shared" ca="1" si="33"/>
        <v>0</v>
      </c>
      <c r="D33" t="str">
        <f t="shared" si="7"/>
        <v/>
      </c>
      <c r="E33">
        <f>IF(B33="",0,LARGE($E$5:E32,1)+1)</f>
        <v>0</v>
      </c>
      <c r="F33" s="44"/>
      <c r="G33" s="45"/>
      <c r="H33" s="7" t="str">
        <f>IF(AND(F33="",G33=""),"",VLOOKUP(学校情報!$B$5&amp;F33&amp;G33,選手データ!$A:$H,4,FALSE))</f>
        <v/>
      </c>
      <c r="I33" s="7" t="str">
        <f>IF(AND(F33="",G33=""),"",VLOOKUP(学校情報!$B$5&amp;F33&amp;G33,選手データ!$A:$H,5,FALSE))</f>
        <v/>
      </c>
      <c r="J33" s="8" t="str">
        <f>IF(AND(F33="",G33=""),"",VLOOKUP(学校情報!$B$5&amp;F33&amp;G33,選手データ!$A:$H,6,FALSE))</f>
        <v/>
      </c>
      <c r="K33" s="32" t="str">
        <f>IF(AND(F33="",G33=""),"",VLOOKUP(学校情報!$B$5&amp;F33&amp;G33,選手データ!$A:$H,8,FALSE))</f>
        <v/>
      </c>
      <c r="L33" s="7" t="str">
        <f>IF(AND(F33="",G33=""),"",VLOOKUP(学校情報!$B$5&amp;F33&amp;G33,選手データ!$A:$I,9,FALSE))</f>
        <v/>
      </c>
      <c r="M33" s="44"/>
      <c r="N33" s="46"/>
      <c r="O33" s="47"/>
      <c r="P33" s="7" t="str">
        <f t="shared" ca="1" si="34"/>
        <v/>
      </c>
      <c r="Q33" s="46"/>
      <c r="R33" s="48"/>
      <c r="S33" s="45"/>
      <c r="T33" s="49"/>
      <c r="U33" s="8" t="str">
        <f t="shared" ca="1" si="35"/>
        <v/>
      </c>
      <c r="V33" s="8" t="str">
        <f t="shared" si="36"/>
        <v/>
      </c>
      <c r="W33" s="4">
        <f t="shared" si="8"/>
        <v>0</v>
      </c>
      <c r="X33" t="b">
        <f ca="1">IF(M33="",FALSE,VLOOKUP(M33,OFFSET(設定!$D$2:$I$25,0,AA33),2,FALSE))</f>
        <v>0</v>
      </c>
      <c r="Y33" t="str">
        <f ca="1">IF(M33="","",VLOOKUP(M33,OFFSET(設定!$D$2:$I$25,0,AA33),3,FALSE))</f>
        <v/>
      </c>
      <c r="Z33" t="b">
        <f ca="1">IF(M33="",FALSE,VLOOKUP(M33,OFFSET(設定!$D$2:$I$25,0,AA33),4,FALSE))</f>
        <v>0</v>
      </c>
      <c r="AA33">
        <f t="shared" si="9"/>
        <v>7</v>
      </c>
      <c r="AB33" s="1" t="str">
        <f ca="1">IF(M33="","",IF(AND(Z33,N33="〇"),IF(VLOOKUP(M33,OFFSET(設定!$D$2:$I$25,0,AA33),5,FALSE)="-","-",LEFT(VLOOKUP(M33,OFFSET(設定!$D$2:$I$25,0,AA33),5,FALSE),INT(LEN(VLOOKUP(M33,OFFSET(設定!$D$2:$I$25,0,AA33),5,FALSE))-1))),IF(VLOOKUP(M33,OFFSET(設定!$D$2:$I$25,0,AA33),5,FALSE)="-","-",INT(VLOOKUP(M33,OFFSET(設定!$D$2:$I$25,0,AA33),5,FALSE)))))</f>
        <v/>
      </c>
      <c r="AC33" s="1" t="str">
        <f ca="1">IF(M33="","",IF(AND(Z33,N33="〇"),IF(VLOOKUP(M33,OFFSET(設定!$D$2:$I$25,0,AA33),6,FALSE)="-","-",LEFT(VLOOKUP(M33,OFFSET(設定!$D$2:$I$25,0,AA33),6,FALSE),INT(LEN(VLOOKUP(M33,OFFSET(設定!$D$2:$I$25,0,AA33),6,FALSE))-1))),IF(VLOOKUP(M33,OFFSET(設定!$D$2:$I$25,0,AA33),6,FALSE)="-","-",INT(VLOOKUP(M33,OFFSET(設定!$D$2:$I$25,0,AA33),6,FALSE)))))</f>
        <v/>
      </c>
      <c r="AD33">
        <f t="shared" si="10"/>
        <v>2</v>
      </c>
      <c r="AE33" t="str">
        <f t="shared" ca="1" si="11"/>
        <v/>
      </c>
      <c r="AF33" t="str">
        <f t="shared" ca="1" si="31"/>
        <v/>
      </c>
      <c r="AG33" t="str">
        <f t="shared" ca="1" si="12"/>
        <v/>
      </c>
      <c r="AH33" t="b">
        <f t="shared" ca="1" si="13"/>
        <v>1</v>
      </c>
      <c r="AI33" t="b">
        <f t="shared" ca="1" si="14"/>
        <v>0</v>
      </c>
      <c r="AJ33" t="b">
        <f t="shared" ca="1" si="15"/>
        <v>0</v>
      </c>
      <c r="AK33" t="b">
        <f t="shared" si="16"/>
        <v>0</v>
      </c>
      <c r="AL33" t="b">
        <f t="shared" si="17"/>
        <v>0</v>
      </c>
      <c r="AM33" t="b">
        <f t="shared" si="18"/>
        <v>0</v>
      </c>
      <c r="AN33" t="b">
        <f t="shared" si="37"/>
        <v>0</v>
      </c>
      <c r="AO33" t="b">
        <f>IF(COUNTIF($D$6:D32,F33&amp;G33&amp;W33)&gt;0,AK33,FALSE)</f>
        <v>0</v>
      </c>
      <c r="AP33" t="b">
        <f t="shared" ca="1" si="19"/>
        <v>0</v>
      </c>
      <c r="AQ33" t="b">
        <f t="shared" si="20"/>
        <v>0</v>
      </c>
      <c r="AR33" t="b">
        <f t="shared" si="32"/>
        <v>0</v>
      </c>
      <c r="AS33" t="b">
        <f t="shared" ca="1" si="21"/>
        <v>0</v>
      </c>
      <c r="AT33" t="b">
        <f t="shared" ca="1" si="22"/>
        <v>0</v>
      </c>
      <c r="AU33" t="b">
        <f ca="1">IF(COUNTIF(設定!$B$6:$B$11,SUMIF($B$6:B32,G33&amp;W33,$C$6:C32)+IF(AI33,10,IF(AJ33,1,0)))=1,FALSE,AK33)</f>
        <v>0</v>
      </c>
      <c r="AV33" t="b">
        <f t="shared" ca="1" si="23"/>
        <v>0</v>
      </c>
      <c r="AW33" t="b">
        <f t="shared" ca="1" si="24"/>
        <v>0</v>
      </c>
      <c r="AX33" t="b">
        <f t="shared" si="25"/>
        <v>0</v>
      </c>
      <c r="AY33" t="b">
        <f t="shared" si="26"/>
        <v>0</v>
      </c>
      <c r="AZ33" t="b">
        <f t="shared" si="27"/>
        <v>0</v>
      </c>
      <c r="BA33" t="b">
        <f>IF(AND(設定!$B$2&lt;=T33,T33&lt;=設定!$B$3),FALSE,AK33)</f>
        <v>0</v>
      </c>
      <c r="BC33">
        <f t="shared" ca="1" si="4"/>
        <v>0</v>
      </c>
      <c r="BD33">
        <f t="shared" si="28"/>
        <v>28</v>
      </c>
      <c r="BE33" t="str">
        <f t="shared" si="29"/>
        <v/>
      </c>
      <c r="BF33">
        <f>IF(BG33&lt;&gt;"",MAX($BF$6:BF32)+1,0)</f>
        <v>0</v>
      </c>
      <c r="BG33" t="str">
        <f>IF(BE33&lt;&gt;"",IF(COUNTIF($BE$6:BE32,BE33)&gt;0,"",BE33),"")</f>
        <v/>
      </c>
      <c r="BH33" t="str">
        <f t="shared" si="30"/>
        <v/>
      </c>
      <c r="BI33">
        <f>IF(BJ33&lt;&gt;"",MAX($BI$6:BI32)+1,0)</f>
        <v>0</v>
      </c>
      <c r="BJ33" t="str">
        <f>IF(BH33&lt;&gt;"",IF(COUNTIF($BE$6:BH32,BH33)&gt;0,"",BH33),"")</f>
        <v/>
      </c>
    </row>
    <row r="34" spans="1:62" ht="16.5" customHeight="1">
      <c r="A34" t="str">
        <f t="shared" si="5"/>
        <v/>
      </c>
      <c r="B34" t="str">
        <f t="shared" si="6"/>
        <v/>
      </c>
      <c r="C34">
        <f t="shared" ca="1" si="33"/>
        <v>0</v>
      </c>
      <c r="D34" t="str">
        <f t="shared" si="7"/>
        <v/>
      </c>
      <c r="E34">
        <f>IF(B34="",0,LARGE($E$5:E33,1)+1)</f>
        <v>0</v>
      </c>
      <c r="F34" s="44"/>
      <c r="G34" s="45"/>
      <c r="H34" s="7" t="str">
        <f>IF(AND(F34="",G34=""),"",VLOOKUP(学校情報!$B$5&amp;F34&amp;G34,選手データ!$A:$H,4,FALSE))</f>
        <v/>
      </c>
      <c r="I34" s="7" t="str">
        <f>IF(AND(F34="",G34=""),"",VLOOKUP(学校情報!$B$5&amp;F34&amp;G34,選手データ!$A:$H,5,FALSE))</f>
        <v/>
      </c>
      <c r="J34" s="8" t="str">
        <f>IF(AND(F34="",G34=""),"",VLOOKUP(学校情報!$B$5&amp;F34&amp;G34,選手データ!$A:$H,6,FALSE))</f>
        <v/>
      </c>
      <c r="K34" s="32" t="str">
        <f>IF(AND(F34="",G34=""),"",VLOOKUP(学校情報!$B$5&amp;F34&amp;G34,選手データ!$A:$H,8,FALSE))</f>
        <v/>
      </c>
      <c r="L34" s="7" t="str">
        <f>IF(AND(F34="",G34=""),"",VLOOKUP(学校情報!$B$5&amp;F34&amp;G34,選手データ!$A:$I,9,FALSE))</f>
        <v/>
      </c>
      <c r="M34" s="44"/>
      <c r="N34" s="46"/>
      <c r="O34" s="47"/>
      <c r="P34" s="7" t="str">
        <f t="shared" ca="1" si="34"/>
        <v/>
      </c>
      <c r="Q34" s="46"/>
      <c r="R34" s="48"/>
      <c r="S34" s="45"/>
      <c r="T34" s="49"/>
      <c r="U34" s="8" t="str">
        <f t="shared" ca="1" si="35"/>
        <v/>
      </c>
      <c r="V34" s="8" t="str">
        <f t="shared" si="36"/>
        <v/>
      </c>
      <c r="W34" s="4">
        <f t="shared" si="8"/>
        <v>0</v>
      </c>
      <c r="X34" t="b">
        <f ca="1">IF(M34="",FALSE,VLOOKUP(M34,OFFSET(設定!$D$2:$I$25,0,AA34),2,FALSE))</f>
        <v>0</v>
      </c>
      <c r="Y34" t="str">
        <f ca="1">IF(M34="","",VLOOKUP(M34,OFFSET(設定!$D$2:$I$25,0,AA34),3,FALSE))</f>
        <v/>
      </c>
      <c r="Z34" t="b">
        <f ca="1">IF(M34="",FALSE,VLOOKUP(M34,OFFSET(設定!$D$2:$I$25,0,AA34),4,FALSE))</f>
        <v>0</v>
      </c>
      <c r="AA34">
        <f t="shared" si="9"/>
        <v>7</v>
      </c>
      <c r="AB34" s="1" t="str">
        <f ca="1">IF(M34="","",IF(AND(Z34,N34="〇"),IF(VLOOKUP(M34,OFFSET(設定!$D$2:$I$25,0,AA34),5,FALSE)="-","-",LEFT(VLOOKUP(M34,OFFSET(設定!$D$2:$I$25,0,AA34),5,FALSE),INT(LEN(VLOOKUP(M34,OFFSET(設定!$D$2:$I$25,0,AA34),5,FALSE))-1))),IF(VLOOKUP(M34,OFFSET(設定!$D$2:$I$25,0,AA34),5,FALSE)="-","-",INT(VLOOKUP(M34,OFFSET(設定!$D$2:$I$25,0,AA34),5,FALSE)))))</f>
        <v/>
      </c>
      <c r="AC34" s="1" t="str">
        <f ca="1">IF(M34="","",IF(AND(Z34,N34="〇"),IF(VLOOKUP(M34,OFFSET(設定!$D$2:$I$25,0,AA34),6,FALSE)="-","-",LEFT(VLOOKUP(M34,OFFSET(設定!$D$2:$I$25,0,AA34),6,FALSE),INT(LEN(VLOOKUP(M34,OFFSET(設定!$D$2:$I$25,0,AA34),6,FALSE))-1))),IF(VLOOKUP(M34,OFFSET(設定!$D$2:$I$25,0,AA34),6,FALSE)="-","-",INT(VLOOKUP(M34,OFFSET(設定!$D$2:$I$25,0,AA34),6,FALSE)))))</f>
        <v/>
      </c>
      <c r="AD34">
        <f t="shared" si="10"/>
        <v>2</v>
      </c>
      <c r="AE34" t="str">
        <f t="shared" ca="1" si="11"/>
        <v/>
      </c>
      <c r="AF34" t="str">
        <f t="shared" ca="1" si="31"/>
        <v/>
      </c>
      <c r="AG34" t="str">
        <f t="shared" ca="1" si="12"/>
        <v/>
      </c>
      <c r="AH34" t="b">
        <f t="shared" ca="1" si="13"/>
        <v>1</v>
      </c>
      <c r="AI34" t="b">
        <f t="shared" ca="1" si="14"/>
        <v>0</v>
      </c>
      <c r="AJ34" t="b">
        <f t="shared" ca="1" si="15"/>
        <v>0</v>
      </c>
      <c r="AK34" t="b">
        <f t="shared" si="16"/>
        <v>0</v>
      </c>
      <c r="AL34" t="b">
        <f t="shared" si="17"/>
        <v>0</v>
      </c>
      <c r="AM34" t="b">
        <f t="shared" si="18"/>
        <v>0</v>
      </c>
      <c r="AN34" t="b">
        <f t="shared" si="37"/>
        <v>0</v>
      </c>
      <c r="AO34" t="b">
        <f>IF(COUNTIF($D$6:D33,F34&amp;G34&amp;W34)&gt;0,AK34,FALSE)</f>
        <v>0</v>
      </c>
      <c r="AP34" t="b">
        <f t="shared" ca="1" si="19"/>
        <v>0</v>
      </c>
      <c r="AQ34" t="b">
        <f t="shared" si="20"/>
        <v>0</v>
      </c>
      <c r="AR34" t="b">
        <f t="shared" si="32"/>
        <v>0</v>
      </c>
      <c r="AS34" t="b">
        <f t="shared" ca="1" si="21"/>
        <v>0</v>
      </c>
      <c r="AT34" t="b">
        <f t="shared" ca="1" si="22"/>
        <v>0</v>
      </c>
      <c r="AU34" t="b">
        <f ca="1">IF(COUNTIF(設定!$B$6:$B$11,SUMIF($B$6:B33,G34&amp;W34,$C$6:C33)+IF(AI34,10,IF(AJ34,1,0)))=1,FALSE,AK34)</f>
        <v>0</v>
      </c>
      <c r="AV34" t="b">
        <f t="shared" ca="1" si="23"/>
        <v>0</v>
      </c>
      <c r="AW34" t="b">
        <f t="shared" ca="1" si="24"/>
        <v>0</v>
      </c>
      <c r="AX34" t="b">
        <f t="shared" si="25"/>
        <v>0</v>
      </c>
      <c r="AY34" t="b">
        <f t="shared" si="26"/>
        <v>0</v>
      </c>
      <c r="AZ34" t="b">
        <f t="shared" si="27"/>
        <v>0</v>
      </c>
      <c r="BA34" t="b">
        <f>IF(AND(設定!$B$2&lt;=T34,T34&lt;=設定!$B$3),FALSE,AK34)</f>
        <v>0</v>
      </c>
      <c r="BC34">
        <f t="shared" ca="1" si="4"/>
        <v>0</v>
      </c>
      <c r="BD34">
        <f t="shared" si="28"/>
        <v>29</v>
      </c>
      <c r="BE34" t="str">
        <f t="shared" si="29"/>
        <v/>
      </c>
      <c r="BF34">
        <f>IF(BG34&lt;&gt;"",MAX($BF$6:BF33)+1,0)</f>
        <v>0</v>
      </c>
      <c r="BG34" t="str">
        <f>IF(BE34&lt;&gt;"",IF(COUNTIF($BE$6:BE33,BE34)&gt;0,"",BE34),"")</f>
        <v/>
      </c>
      <c r="BH34" t="str">
        <f t="shared" si="30"/>
        <v/>
      </c>
      <c r="BI34">
        <f>IF(BJ34&lt;&gt;"",MAX($BI$6:BI33)+1,0)</f>
        <v>0</v>
      </c>
      <c r="BJ34" t="str">
        <f>IF(BH34&lt;&gt;"",IF(COUNTIF($BE$6:BH33,BH34)&gt;0,"",BH34),"")</f>
        <v/>
      </c>
    </row>
    <row r="35" spans="1:62" ht="16.5" customHeight="1">
      <c r="A35" t="str">
        <f t="shared" si="5"/>
        <v/>
      </c>
      <c r="B35" t="str">
        <f t="shared" ref="B35:B53" si="38">IF(V35="〇",G35&amp;W35,"")</f>
        <v/>
      </c>
      <c r="C35">
        <f t="shared" ca="1" si="33"/>
        <v>0</v>
      </c>
      <c r="D35" t="str">
        <f t="shared" si="7"/>
        <v/>
      </c>
      <c r="E35">
        <f>IF(B35="",0,LARGE($E$5:E34,1)+1)</f>
        <v>0</v>
      </c>
      <c r="F35" s="44"/>
      <c r="G35" s="45"/>
      <c r="H35" s="7" t="str">
        <f>IF(AND(F35="",G35=""),"",VLOOKUP(学校情報!$B$5&amp;F35&amp;G35,選手データ!$A:$H,4,FALSE))</f>
        <v/>
      </c>
      <c r="I35" s="7" t="str">
        <f>IF(AND(F35="",G35=""),"",VLOOKUP(学校情報!$B$5&amp;F35&amp;G35,選手データ!$A:$H,5,FALSE))</f>
        <v/>
      </c>
      <c r="J35" s="8" t="str">
        <f>IF(AND(F35="",G35=""),"",VLOOKUP(学校情報!$B$5&amp;F35&amp;G35,選手データ!$A:$H,6,FALSE))</f>
        <v/>
      </c>
      <c r="K35" s="32" t="str">
        <f>IF(AND(F35="",G35=""),"",VLOOKUP(学校情報!$B$5&amp;F35&amp;G35,選手データ!$A:$H,8,FALSE))</f>
        <v/>
      </c>
      <c r="L35" s="7" t="str">
        <f>IF(AND(F35="",G35=""),"",VLOOKUP(学校情報!$B$5&amp;F35&amp;G35,選手データ!$A:$I,9,FALSE))</f>
        <v/>
      </c>
      <c r="M35" s="44"/>
      <c r="N35" s="46"/>
      <c r="O35" s="47"/>
      <c r="P35" s="7" t="str">
        <f t="shared" ref="P35:P53" ca="1" si="39">AE35&amp;AF35&amp;AG35</f>
        <v/>
      </c>
      <c r="Q35" s="46"/>
      <c r="R35" s="48"/>
      <c r="S35" s="45"/>
      <c r="T35" s="49"/>
      <c r="U35" s="8" t="str">
        <f t="shared" ref="U35:U53" ca="1" si="40">IF(AI35,"A",IF(AJ35,"B",""))</f>
        <v/>
      </c>
      <c r="V35" s="8" t="str">
        <f t="shared" ref="V35:V53" si="41">IF(AK35,IF(COUNTIF(AL35:BB35,TRUE)&gt;0,"×","〇"),"")</f>
        <v/>
      </c>
      <c r="W35" s="4">
        <f t="shared" ref="W35:W53" si="42">IF(ISNUMBER(FIND("(",M35)),LEFT(M35,FIND("(",M35)-1),M35)</f>
        <v>0</v>
      </c>
      <c r="X35" t="b">
        <f ca="1">IF(M35="",FALSE,VLOOKUP(M35,OFFSET(設定!$D$2:$I$25,0,AA35),2,FALSE))</f>
        <v>0</v>
      </c>
      <c r="Y35" t="str">
        <f ca="1">IF(M35="","",VLOOKUP(M35,OFFSET(設定!$D$2:$I$25,0,AA35),3,FALSE))</f>
        <v/>
      </c>
      <c r="Z35" t="b">
        <f ca="1">IF(M35="",FALSE,VLOOKUP(M35,OFFSET(設定!$D$2:$I$25,0,AA35),4,FALSE))</f>
        <v>0</v>
      </c>
      <c r="AA35">
        <f t="shared" si="9"/>
        <v>7</v>
      </c>
      <c r="AB35" s="1" t="str">
        <f ca="1">IF(M35="","",IF(AND(Z35,N35="〇"),IF(VLOOKUP(M35,OFFSET(設定!$D$2:$I$25,0,AA35),5,FALSE)="-","-",LEFT(VLOOKUP(M35,OFFSET(設定!$D$2:$I$25,0,AA35),5,FALSE),INT(LEN(VLOOKUP(M35,OFFSET(設定!$D$2:$I$25,0,AA35),5,FALSE))-1))),IF(VLOOKUP(M35,OFFSET(設定!$D$2:$I$25,0,AA35),5,FALSE)="-","-",INT(VLOOKUP(M35,OFFSET(設定!$D$2:$I$25,0,AA35),5,FALSE)))))</f>
        <v/>
      </c>
      <c r="AC35" s="1" t="str">
        <f ca="1">IF(M35="","",IF(AND(Z35,N35="〇"),IF(VLOOKUP(M35,OFFSET(設定!$D$2:$I$25,0,AA35),6,FALSE)="-","-",LEFT(VLOOKUP(M35,OFFSET(設定!$D$2:$I$25,0,AA35),6,FALSE),INT(LEN(VLOOKUP(M35,OFFSET(設定!$D$2:$I$25,0,AA35),6,FALSE))-1))),IF(VLOOKUP(M35,OFFSET(設定!$D$2:$I$25,0,AA35),6,FALSE)="-","-",INT(VLOOKUP(M35,OFFSET(設定!$D$2:$I$25,0,AA35),6,FALSE)))))</f>
        <v/>
      </c>
      <c r="AD35">
        <f t="shared" si="10"/>
        <v>2</v>
      </c>
      <c r="AE35" t="str">
        <f t="shared" ref="AE35:AE53" ca="1" si="43">IF(Y35="秒",IF(LEN(O35)&lt;=2,"",IF(LEN(O35)&gt;=3,LEFT(O35,LEN(O35)-2)&amp;"分"&amp;RIGHT(O35,2)&amp;"秒","")),"")</f>
        <v/>
      </c>
      <c r="AF35" t="str">
        <f t="shared" ref="AF35:AF53" ca="1" si="44">IF(Y35="ミリ秒",IF(LEN(O35)&gt;AD35,IF(LEN(O35)&lt;=AD35+2,LEFT(O35,LEN(O35)-AD35)&amp;"秒"&amp;RIGHT(O35,AD35),LEFT(O35,LEN(O35)-(AD35+2))&amp;"分"&amp;MID(O35,LEN(O35)-(AD35+2)+1,2)&amp;"秒"&amp;RIGHT(O35,AD35)),""),"")</f>
        <v/>
      </c>
      <c r="AG35" t="str">
        <f t="shared" ref="AG35:AG53" ca="1" si="45">IF(Y35="ｍ",IF(LEN(O35)&gt;=3,LEFT(O35,LEN(O35)-2)&amp;"ｍ"&amp;RIGHT(O35,2),""),"")</f>
        <v/>
      </c>
      <c r="AH35" t="b">
        <f t="shared" ref="AH35:AH53" ca="1" si="46">IF(X35,IF(OR(Q35="",R35=""),FALSE,IF(INT(Q35&amp;ROUNDUP(TEXT(R35,"0.0"),0))&lt;=2,TRUE,FALSE)),TRUE)</f>
        <v>1</v>
      </c>
      <c r="AI35" t="b">
        <f t="shared" ref="AI35:AI53" ca="1" si="47">IF(AND(NOT(AR35),NOT(AS35),AE35&amp;AF35&amp;AG35&lt;&gt;"",AB35&lt;&gt;"-"),IF(Y35="ｍ",IF(INT(AB35)&lt;=INT(O35),TRUE,FALSE),IF(INT(AB35)&gt;=INT(O35),TRUE,FALSE)),FALSE)</f>
        <v>0</v>
      </c>
      <c r="AJ35" t="b">
        <f t="shared" ref="AJ35:AJ53" ca="1" si="48">IF(AND(NOT(AR35),NOT(AS35),AE35&amp;AF35&amp;AG35&lt;&gt;""),IF(Y35="ｍ",IF(INT(AC35)&lt;=INT(O35),TRUE,FALSE),IF(INT(AC35)&gt;=INT(O35),TRUE,FALSE)),FALSE)</f>
        <v>0</v>
      </c>
      <c r="AK35" t="b">
        <f t="shared" ref="AK35:AK53" si="49">IF(F35&amp;G35&amp;M35&amp;O35&amp;Q35&amp;R35&amp;S35&amp;T35&lt;&gt;"",TRUE,FALSE)</f>
        <v>0</v>
      </c>
      <c r="AL35" t="b">
        <f t="shared" ref="AL35:AL53" si="50">IF(AND(AK35,F35=""),TRUE,FALSE)</f>
        <v>0</v>
      </c>
      <c r="AM35" t="b">
        <f t="shared" ref="AM35:AM53" si="51">IF(AND(AK35,F35&lt;&gt;"",ISNA(H35)),TRUE,FALSE)</f>
        <v>0</v>
      </c>
      <c r="AN35" t="b">
        <f t="shared" si="37"/>
        <v>0</v>
      </c>
      <c r="AO35" t="b">
        <f>IF(COUNTIF($D$6:D34,F35&amp;G35&amp;W35)&gt;0,AK35,FALSE)</f>
        <v>0</v>
      </c>
      <c r="AP35" t="b">
        <f t="shared" ca="1" si="19"/>
        <v>0</v>
      </c>
      <c r="AQ35" t="b">
        <f t="shared" ref="AQ35:AQ53" si="52">IF(AND(AK35,O35=""),TRUE,FALSE)</f>
        <v>0</v>
      </c>
      <c r="AR35" t="b">
        <f t="shared" ref="AR35:AR53" si="53">IF(ISNUMBER(O35),FALSE,AK35)</f>
        <v>0</v>
      </c>
      <c r="AS35" t="b">
        <f t="shared" ref="AS35:AS53" ca="1" si="54">IF(Y35="ｍ",FALSE,IF(LEN(O35)&gt;=AD35+2,IF(INT(LEFT(RIGHT(O35,AD35+2),2))&gt;=60,TRUE,FALSE),FALSE))</f>
        <v>0</v>
      </c>
      <c r="AT35" t="b">
        <f t="shared" ref="AT35:AT53" ca="1" si="55">IF(AND(NOT(AI35),NOT(AJ35)),AK35,FALSE)</f>
        <v>0</v>
      </c>
      <c r="AU35" t="b">
        <f ca="1">IF(COUNTIF(設定!$B$6:$B$11,SUMIF($B$6:B34,G35&amp;W35,$C$6:C34)+IF(AI35,10,IF(AJ35,1,0)))=1,FALSE,AK35)</f>
        <v>0</v>
      </c>
      <c r="AV35" t="b">
        <f t="shared" ref="AV35:AV53" ca="1" si="56">IF(AND(X35,OR(R35="",Q35="")),TRUE,FALSE)</f>
        <v>0</v>
      </c>
      <c r="AW35" t="b">
        <f t="shared" ref="AW35:AW53" ca="1" si="57">NOT(AH35)</f>
        <v>0</v>
      </c>
      <c r="AX35" t="b">
        <f t="shared" ref="AX35:AX53" si="58">IF(AND(AK35,S35=""),TRUE,FALSE)</f>
        <v>0</v>
      </c>
      <c r="AY35" t="b">
        <f t="shared" ref="AY35:AY53" si="59">IF(AND(AK35,T35=""),TRUE,FALSE)</f>
        <v>0</v>
      </c>
      <c r="AZ35" t="b">
        <f t="shared" ref="AZ35:AZ53" si="60">IF(ISERROR(DAY(T35)),TRUE,FALSE)</f>
        <v>0</v>
      </c>
      <c r="BA35" t="b">
        <f>IF(AND(設定!$B$2&lt;=T35,T35&lt;=設定!$B$3),FALSE,AK35)</f>
        <v>0</v>
      </c>
      <c r="BC35">
        <f t="shared" ca="1" si="4"/>
        <v>0</v>
      </c>
      <c r="BD35">
        <f t="shared" si="28"/>
        <v>30</v>
      </c>
      <c r="BE35" t="str">
        <f t="shared" si="29"/>
        <v/>
      </c>
      <c r="BF35">
        <f>IF(BG35&lt;&gt;"",MAX($BF$6:BF34)+1,0)</f>
        <v>0</v>
      </c>
      <c r="BG35" t="str">
        <f>IF(BE35&lt;&gt;"",IF(COUNTIF($BE$6:BE34,BE35)&gt;0,"",BE35),"")</f>
        <v/>
      </c>
      <c r="BH35" t="str">
        <f t="shared" si="30"/>
        <v/>
      </c>
      <c r="BI35">
        <f>IF(BJ35&lt;&gt;"",MAX($BI$6:BI34)+1,0)</f>
        <v>0</v>
      </c>
      <c r="BJ35" t="str">
        <f>IF(BH35&lt;&gt;"",IF(COUNTIF($BE$6:BH34,BH35)&gt;0,"",BH35),"")</f>
        <v/>
      </c>
    </row>
    <row r="36" spans="1:62" ht="16.5" customHeight="1">
      <c r="A36" t="str">
        <f t="shared" si="5"/>
        <v/>
      </c>
      <c r="B36" t="str">
        <f t="shared" si="38"/>
        <v/>
      </c>
      <c r="C36">
        <f t="shared" ca="1" si="33"/>
        <v>0</v>
      </c>
      <c r="D36" t="str">
        <f t="shared" si="7"/>
        <v/>
      </c>
      <c r="E36">
        <f>IF(B36="",0,LARGE($E$5:E35,1)+1)</f>
        <v>0</v>
      </c>
      <c r="F36" s="44"/>
      <c r="G36" s="45"/>
      <c r="H36" s="7" t="str">
        <f>IF(AND(F36="",G36=""),"",VLOOKUP(学校情報!$B$5&amp;F36&amp;G36,選手データ!$A:$H,4,FALSE))</f>
        <v/>
      </c>
      <c r="I36" s="7" t="str">
        <f>IF(AND(F36="",G36=""),"",VLOOKUP(学校情報!$B$5&amp;F36&amp;G36,選手データ!$A:$H,5,FALSE))</f>
        <v/>
      </c>
      <c r="J36" s="8" t="str">
        <f>IF(AND(F36="",G36=""),"",VLOOKUP(学校情報!$B$5&amp;F36&amp;G36,選手データ!$A:$H,6,FALSE))</f>
        <v/>
      </c>
      <c r="K36" s="32" t="str">
        <f>IF(AND(F36="",G36=""),"",VLOOKUP(学校情報!$B$5&amp;F36&amp;G36,選手データ!$A:$H,8,FALSE))</f>
        <v/>
      </c>
      <c r="L36" s="7" t="str">
        <f>IF(AND(F36="",G36=""),"",VLOOKUP(学校情報!$B$5&amp;F36&amp;G36,選手データ!$A:$I,9,FALSE))</f>
        <v/>
      </c>
      <c r="M36" s="44"/>
      <c r="N36" s="46"/>
      <c r="O36" s="47"/>
      <c r="P36" s="7" t="str">
        <f t="shared" ca="1" si="39"/>
        <v/>
      </c>
      <c r="Q36" s="46"/>
      <c r="R36" s="48"/>
      <c r="S36" s="45"/>
      <c r="T36" s="49"/>
      <c r="U36" s="8" t="str">
        <f t="shared" ca="1" si="40"/>
        <v/>
      </c>
      <c r="V36" s="8" t="str">
        <f t="shared" si="41"/>
        <v/>
      </c>
      <c r="W36" s="4">
        <f t="shared" si="42"/>
        <v>0</v>
      </c>
      <c r="X36" t="b">
        <f ca="1">IF(M36="",FALSE,VLOOKUP(M36,OFFSET(設定!$D$2:$I$25,0,AA36),2,FALSE))</f>
        <v>0</v>
      </c>
      <c r="Y36" t="str">
        <f ca="1">IF(M36="","",VLOOKUP(M36,OFFSET(設定!$D$2:$I$25,0,AA36),3,FALSE))</f>
        <v/>
      </c>
      <c r="Z36" t="b">
        <f ca="1">IF(M36="",FALSE,VLOOKUP(M36,OFFSET(設定!$D$2:$I$25,0,AA36),4,FALSE))</f>
        <v>0</v>
      </c>
      <c r="AA36">
        <f t="shared" si="9"/>
        <v>7</v>
      </c>
      <c r="AB36" s="1" t="str">
        <f ca="1">IF(M36="","",IF(AND(Z36,N36="〇"),IF(VLOOKUP(M36,OFFSET(設定!$D$2:$I$25,0,AA36),5,FALSE)="-","-",LEFT(VLOOKUP(M36,OFFSET(設定!$D$2:$I$25,0,AA36),5,FALSE),INT(LEN(VLOOKUP(M36,OFFSET(設定!$D$2:$I$25,0,AA36),5,FALSE))-1))),IF(VLOOKUP(M36,OFFSET(設定!$D$2:$I$25,0,AA36),5,FALSE)="-","-",INT(VLOOKUP(M36,OFFSET(設定!$D$2:$I$25,0,AA36),5,FALSE)))))</f>
        <v/>
      </c>
      <c r="AC36" s="1" t="str">
        <f ca="1">IF(M36="","",IF(AND(Z36,N36="〇"),IF(VLOOKUP(M36,OFFSET(設定!$D$2:$I$25,0,AA36),6,FALSE)="-","-",LEFT(VLOOKUP(M36,OFFSET(設定!$D$2:$I$25,0,AA36),6,FALSE),INT(LEN(VLOOKUP(M36,OFFSET(設定!$D$2:$I$25,0,AA36),6,FALSE))-1))),IF(VLOOKUP(M36,OFFSET(設定!$D$2:$I$25,0,AA36),6,FALSE)="-","-",INT(VLOOKUP(M36,OFFSET(設定!$D$2:$I$25,0,AA36),6,FALSE)))))</f>
        <v/>
      </c>
      <c r="AD36">
        <f t="shared" si="10"/>
        <v>2</v>
      </c>
      <c r="AE36" t="str">
        <f t="shared" ca="1" si="43"/>
        <v/>
      </c>
      <c r="AF36" t="str">
        <f t="shared" ca="1" si="44"/>
        <v/>
      </c>
      <c r="AG36" t="str">
        <f t="shared" ca="1" si="45"/>
        <v/>
      </c>
      <c r="AH36" t="b">
        <f t="shared" ca="1" si="46"/>
        <v>1</v>
      </c>
      <c r="AI36" t="b">
        <f t="shared" ca="1" si="47"/>
        <v>0</v>
      </c>
      <c r="AJ36" t="b">
        <f t="shared" ca="1" si="48"/>
        <v>0</v>
      </c>
      <c r="AK36" t="b">
        <f t="shared" si="49"/>
        <v>0</v>
      </c>
      <c r="AL36" t="b">
        <f t="shared" si="50"/>
        <v>0</v>
      </c>
      <c r="AM36" t="b">
        <f t="shared" si="51"/>
        <v>0</v>
      </c>
      <c r="AN36" t="b">
        <f t="shared" si="37"/>
        <v>0</v>
      </c>
      <c r="AO36" t="b">
        <f>IF(COUNTIF($D$6:D35,F36&amp;G36&amp;W36)&gt;0,AK36,FALSE)</f>
        <v>0</v>
      </c>
      <c r="AP36" t="b">
        <f t="shared" ca="1" si="19"/>
        <v>0</v>
      </c>
      <c r="AQ36" t="b">
        <f t="shared" si="52"/>
        <v>0</v>
      </c>
      <c r="AR36" t="b">
        <f t="shared" si="53"/>
        <v>0</v>
      </c>
      <c r="AS36" t="b">
        <f t="shared" ca="1" si="54"/>
        <v>0</v>
      </c>
      <c r="AT36" t="b">
        <f t="shared" ca="1" si="55"/>
        <v>0</v>
      </c>
      <c r="AU36" t="b">
        <f ca="1">IF(COUNTIF(設定!$B$6:$B$11,SUMIF($B$6:B35,G36&amp;W36,$C$6:C35)+IF(AI36,10,IF(AJ36,1,0)))=1,FALSE,AK36)</f>
        <v>0</v>
      </c>
      <c r="AV36" t="b">
        <f t="shared" ca="1" si="56"/>
        <v>0</v>
      </c>
      <c r="AW36" t="b">
        <f t="shared" ca="1" si="57"/>
        <v>0</v>
      </c>
      <c r="AX36" t="b">
        <f t="shared" si="58"/>
        <v>0</v>
      </c>
      <c r="AY36" t="b">
        <f t="shared" si="59"/>
        <v>0</v>
      </c>
      <c r="AZ36" t="b">
        <f t="shared" si="60"/>
        <v>0</v>
      </c>
      <c r="BA36" t="b">
        <f>IF(AND(設定!$B$2&lt;=T36,T36&lt;=設定!$B$3),FALSE,AK36)</f>
        <v>0</v>
      </c>
      <c r="BC36">
        <f t="shared" ca="1" si="4"/>
        <v>0</v>
      </c>
      <c r="BD36">
        <f t="shared" si="28"/>
        <v>31</v>
      </c>
      <c r="BE36" t="str">
        <f t="shared" si="29"/>
        <v/>
      </c>
      <c r="BF36">
        <f>IF(BG36&lt;&gt;"",MAX($BF$6:BF35)+1,0)</f>
        <v>0</v>
      </c>
      <c r="BG36" t="str">
        <f>IF(BE36&lt;&gt;"",IF(COUNTIF($BE$6:BE35,BE36)&gt;0,"",BE36),"")</f>
        <v/>
      </c>
      <c r="BH36" t="str">
        <f t="shared" si="30"/>
        <v/>
      </c>
      <c r="BI36">
        <f>IF(BJ36&lt;&gt;"",MAX($BI$6:BI35)+1,0)</f>
        <v>0</v>
      </c>
      <c r="BJ36" t="str">
        <f>IF(BH36&lt;&gt;"",IF(COUNTIF($BE$6:BH35,BH36)&gt;0,"",BH36),"")</f>
        <v/>
      </c>
    </row>
    <row r="37" spans="1:62" ht="16.5" customHeight="1">
      <c r="A37" t="str">
        <f t="shared" si="5"/>
        <v/>
      </c>
      <c r="B37" t="str">
        <f t="shared" si="38"/>
        <v/>
      </c>
      <c r="C37">
        <f t="shared" ca="1" si="33"/>
        <v>0</v>
      </c>
      <c r="D37" t="str">
        <f t="shared" si="7"/>
        <v/>
      </c>
      <c r="E37">
        <f>IF(B37="",0,LARGE($E$5:E36,1)+1)</f>
        <v>0</v>
      </c>
      <c r="F37" s="44"/>
      <c r="G37" s="45"/>
      <c r="H37" s="7" t="str">
        <f>IF(AND(F37="",G37=""),"",VLOOKUP(学校情報!$B$5&amp;F37&amp;G37,選手データ!$A:$H,4,FALSE))</f>
        <v/>
      </c>
      <c r="I37" s="7" t="str">
        <f>IF(AND(F37="",G37=""),"",VLOOKUP(学校情報!$B$5&amp;F37&amp;G37,選手データ!$A:$H,5,FALSE))</f>
        <v/>
      </c>
      <c r="J37" s="8" t="str">
        <f>IF(AND(F37="",G37=""),"",VLOOKUP(学校情報!$B$5&amp;F37&amp;G37,選手データ!$A:$H,6,FALSE))</f>
        <v/>
      </c>
      <c r="K37" s="32" t="str">
        <f>IF(AND(F37="",G37=""),"",VLOOKUP(学校情報!$B$5&amp;F37&amp;G37,選手データ!$A:$H,8,FALSE))</f>
        <v/>
      </c>
      <c r="L37" s="7" t="str">
        <f>IF(AND(F37="",G37=""),"",VLOOKUP(学校情報!$B$5&amp;F37&amp;G37,選手データ!$A:$I,9,FALSE))</f>
        <v/>
      </c>
      <c r="M37" s="44"/>
      <c r="N37" s="46"/>
      <c r="O37" s="47"/>
      <c r="P37" s="7" t="str">
        <f t="shared" ca="1" si="39"/>
        <v/>
      </c>
      <c r="Q37" s="46"/>
      <c r="R37" s="48"/>
      <c r="S37" s="45"/>
      <c r="T37" s="49"/>
      <c r="U37" s="8" t="str">
        <f t="shared" ca="1" si="40"/>
        <v/>
      </c>
      <c r="V37" s="8" t="str">
        <f t="shared" si="41"/>
        <v/>
      </c>
      <c r="W37" s="4">
        <f t="shared" si="42"/>
        <v>0</v>
      </c>
      <c r="X37" t="b">
        <f ca="1">IF(M37="",FALSE,VLOOKUP(M37,OFFSET(設定!$D$2:$I$25,0,AA37),2,FALSE))</f>
        <v>0</v>
      </c>
      <c r="Y37" t="str">
        <f ca="1">IF(M37="","",VLOOKUP(M37,OFFSET(設定!$D$2:$I$25,0,AA37),3,FALSE))</f>
        <v/>
      </c>
      <c r="Z37" t="b">
        <f ca="1">IF(M37="",FALSE,VLOOKUP(M37,OFFSET(設定!$D$2:$I$25,0,AA37),4,FALSE))</f>
        <v>0</v>
      </c>
      <c r="AA37">
        <f t="shared" si="9"/>
        <v>7</v>
      </c>
      <c r="AB37" s="1" t="str">
        <f ca="1">IF(M37="","",IF(AND(Z37,N37="〇"),IF(VLOOKUP(M37,OFFSET(設定!$D$2:$I$25,0,AA37),5,FALSE)="-","-",LEFT(VLOOKUP(M37,OFFSET(設定!$D$2:$I$25,0,AA37),5,FALSE),INT(LEN(VLOOKUP(M37,OFFSET(設定!$D$2:$I$25,0,AA37),5,FALSE))-1))),IF(VLOOKUP(M37,OFFSET(設定!$D$2:$I$25,0,AA37),5,FALSE)="-","-",INT(VLOOKUP(M37,OFFSET(設定!$D$2:$I$25,0,AA37),5,FALSE)))))</f>
        <v/>
      </c>
      <c r="AC37" s="1" t="str">
        <f ca="1">IF(M37="","",IF(AND(Z37,N37="〇"),IF(VLOOKUP(M37,OFFSET(設定!$D$2:$I$25,0,AA37),6,FALSE)="-","-",LEFT(VLOOKUP(M37,OFFSET(設定!$D$2:$I$25,0,AA37),6,FALSE),INT(LEN(VLOOKUP(M37,OFFSET(設定!$D$2:$I$25,0,AA37),6,FALSE))-1))),IF(VLOOKUP(M37,OFFSET(設定!$D$2:$I$25,0,AA37),6,FALSE)="-","-",INT(VLOOKUP(M37,OFFSET(設定!$D$2:$I$25,0,AA37),6,FALSE)))))</f>
        <v/>
      </c>
      <c r="AD37">
        <f t="shared" si="10"/>
        <v>2</v>
      </c>
      <c r="AE37" t="str">
        <f t="shared" ca="1" si="43"/>
        <v/>
      </c>
      <c r="AF37" t="str">
        <f t="shared" ca="1" si="44"/>
        <v/>
      </c>
      <c r="AG37" t="str">
        <f t="shared" ca="1" si="45"/>
        <v/>
      </c>
      <c r="AH37" t="b">
        <f t="shared" ca="1" si="46"/>
        <v>1</v>
      </c>
      <c r="AI37" t="b">
        <f t="shared" ca="1" si="47"/>
        <v>0</v>
      </c>
      <c r="AJ37" t="b">
        <f t="shared" ca="1" si="48"/>
        <v>0</v>
      </c>
      <c r="AK37" t="b">
        <f t="shared" si="49"/>
        <v>0</v>
      </c>
      <c r="AL37" t="b">
        <f t="shared" si="50"/>
        <v>0</v>
      </c>
      <c r="AM37" t="b">
        <f t="shared" si="51"/>
        <v>0</v>
      </c>
      <c r="AN37" t="b">
        <f t="shared" si="37"/>
        <v>0</v>
      </c>
      <c r="AO37" t="b">
        <f>IF(COUNTIF($D$6:D36,F37&amp;G37&amp;W37)&gt;0,AK37,FALSE)</f>
        <v>0</v>
      </c>
      <c r="AP37" t="b">
        <f t="shared" ca="1" si="19"/>
        <v>0</v>
      </c>
      <c r="AQ37" t="b">
        <f t="shared" si="52"/>
        <v>0</v>
      </c>
      <c r="AR37" t="b">
        <f t="shared" si="53"/>
        <v>0</v>
      </c>
      <c r="AS37" t="b">
        <f t="shared" ca="1" si="54"/>
        <v>0</v>
      </c>
      <c r="AT37" t="b">
        <f t="shared" ca="1" si="55"/>
        <v>0</v>
      </c>
      <c r="AU37" t="b">
        <f ca="1">IF(COUNTIF(設定!$B$6:$B$11,SUMIF($B$6:B36,G37&amp;W37,$C$6:C36)+IF(AI37,10,IF(AJ37,1,0)))=1,FALSE,AK37)</f>
        <v>0</v>
      </c>
      <c r="AV37" t="b">
        <f t="shared" ca="1" si="56"/>
        <v>0</v>
      </c>
      <c r="AW37" t="b">
        <f t="shared" ca="1" si="57"/>
        <v>0</v>
      </c>
      <c r="AX37" t="b">
        <f t="shared" si="58"/>
        <v>0</v>
      </c>
      <c r="AY37" t="b">
        <f t="shared" si="59"/>
        <v>0</v>
      </c>
      <c r="AZ37" t="b">
        <f t="shared" si="60"/>
        <v>0</v>
      </c>
      <c r="BA37" t="b">
        <f>IF(AND(設定!$B$2&lt;=T37,T37&lt;=設定!$B$3),FALSE,AK37)</f>
        <v>0</v>
      </c>
      <c r="BC37">
        <f t="shared" ca="1" si="4"/>
        <v>0</v>
      </c>
      <c r="BD37">
        <f t="shared" si="28"/>
        <v>32</v>
      </c>
      <c r="BE37" t="str">
        <f t="shared" si="29"/>
        <v/>
      </c>
      <c r="BF37">
        <f>IF(BG37&lt;&gt;"",MAX($BF$6:BF36)+1,0)</f>
        <v>0</v>
      </c>
      <c r="BG37" t="str">
        <f>IF(BE37&lt;&gt;"",IF(COUNTIF($BE$6:BE36,BE37)&gt;0,"",BE37),"")</f>
        <v/>
      </c>
      <c r="BH37" t="str">
        <f t="shared" si="30"/>
        <v/>
      </c>
      <c r="BI37">
        <f>IF(BJ37&lt;&gt;"",MAX($BI$6:BI36)+1,0)</f>
        <v>0</v>
      </c>
      <c r="BJ37" t="str">
        <f>IF(BH37&lt;&gt;"",IF(COUNTIF($BE$6:BH36,BH37)&gt;0,"",BH37),"")</f>
        <v/>
      </c>
    </row>
    <row r="38" spans="1:62" ht="16.5" customHeight="1">
      <c r="A38" t="str">
        <f t="shared" si="5"/>
        <v/>
      </c>
      <c r="B38" t="str">
        <f t="shared" si="38"/>
        <v/>
      </c>
      <c r="C38">
        <f t="shared" ca="1" si="33"/>
        <v>0</v>
      </c>
      <c r="D38" t="str">
        <f t="shared" si="7"/>
        <v/>
      </c>
      <c r="E38">
        <f>IF(B38="",0,LARGE($E$5:E37,1)+1)</f>
        <v>0</v>
      </c>
      <c r="F38" s="44"/>
      <c r="G38" s="45"/>
      <c r="H38" s="7" t="str">
        <f>IF(AND(F38="",G38=""),"",VLOOKUP(学校情報!$B$5&amp;F38&amp;G38,選手データ!$A:$H,4,FALSE))</f>
        <v/>
      </c>
      <c r="I38" s="7" t="str">
        <f>IF(AND(F38="",G38=""),"",VLOOKUP(学校情報!$B$5&amp;F38&amp;G38,選手データ!$A:$H,5,FALSE))</f>
        <v/>
      </c>
      <c r="J38" s="8" t="str">
        <f>IF(AND(F38="",G38=""),"",VLOOKUP(学校情報!$B$5&amp;F38&amp;G38,選手データ!$A:$H,6,FALSE))</f>
        <v/>
      </c>
      <c r="K38" s="32" t="str">
        <f>IF(AND(F38="",G38=""),"",VLOOKUP(学校情報!$B$5&amp;F38&amp;G38,選手データ!$A:$H,8,FALSE))</f>
        <v/>
      </c>
      <c r="L38" s="7" t="str">
        <f>IF(AND(F38="",G38=""),"",VLOOKUP(学校情報!$B$5&amp;F38&amp;G38,選手データ!$A:$I,9,FALSE))</f>
        <v/>
      </c>
      <c r="M38" s="44"/>
      <c r="N38" s="46"/>
      <c r="O38" s="47"/>
      <c r="P38" s="7" t="str">
        <f t="shared" ca="1" si="39"/>
        <v/>
      </c>
      <c r="Q38" s="46"/>
      <c r="R38" s="48"/>
      <c r="S38" s="45"/>
      <c r="T38" s="49"/>
      <c r="U38" s="8" t="str">
        <f t="shared" ca="1" si="40"/>
        <v/>
      </c>
      <c r="V38" s="8" t="str">
        <f t="shared" si="41"/>
        <v/>
      </c>
      <c r="W38" s="4">
        <f t="shared" si="42"/>
        <v>0</v>
      </c>
      <c r="X38" t="b">
        <f ca="1">IF(M38="",FALSE,VLOOKUP(M38,OFFSET(設定!$D$2:$I$25,0,AA38),2,FALSE))</f>
        <v>0</v>
      </c>
      <c r="Y38" t="str">
        <f ca="1">IF(M38="","",VLOOKUP(M38,OFFSET(設定!$D$2:$I$25,0,AA38),3,FALSE))</f>
        <v/>
      </c>
      <c r="Z38" t="b">
        <f ca="1">IF(M38="",FALSE,VLOOKUP(M38,OFFSET(設定!$D$2:$I$25,0,AA38),4,FALSE))</f>
        <v>0</v>
      </c>
      <c r="AA38">
        <f t="shared" si="9"/>
        <v>7</v>
      </c>
      <c r="AB38" s="1" t="str">
        <f ca="1">IF(M38="","",IF(AND(Z38,N38="〇"),IF(VLOOKUP(M38,OFFSET(設定!$D$2:$I$25,0,AA38),5,FALSE)="-","-",LEFT(VLOOKUP(M38,OFFSET(設定!$D$2:$I$25,0,AA38),5,FALSE),INT(LEN(VLOOKUP(M38,OFFSET(設定!$D$2:$I$25,0,AA38),5,FALSE))-1))),IF(VLOOKUP(M38,OFFSET(設定!$D$2:$I$25,0,AA38),5,FALSE)="-","-",INT(VLOOKUP(M38,OFFSET(設定!$D$2:$I$25,0,AA38),5,FALSE)))))</f>
        <v/>
      </c>
      <c r="AC38" s="1" t="str">
        <f ca="1">IF(M38="","",IF(AND(Z38,N38="〇"),IF(VLOOKUP(M38,OFFSET(設定!$D$2:$I$25,0,AA38),6,FALSE)="-","-",LEFT(VLOOKUP(M38,OFFSET(設定!$D$2:$I$25,0,AA38),6,FALSE),INT(LEN(VLOOKUP(M38,OFFSET(設定!$D$2:$I$25,0,AA38),6,FALSE))-1))),IF(VLOOKUP(M38,OFFSET(設定!$D$2:$I$25,0,AA38),6,FALSE)="-","-",INT(VLOOKUP(M38,OFFSET(設定!$D$2:$I$25,0,AA38),6,FALSE)))))</f>
        <v/>
      </c>
      <c r="AD38">
        <f t="shared" si="10"/>
        <v>2</v>
      </c>
      <c r="AE38" t="str">
        <f t="shared" ca="1" si="43"/>
        <v/>
      </c>
      <c r="AF38" t="str">
        <f t="shared" ca="1" si="44"/>
        <v/>
      </c>
      <c r="AG38" t="str">
        <f t="shared" ca="1" si="45"/>
        <v/>
      </c>
      <c r="AH38" t="b">
        <f t="shared" ca="1" si="46"/>
        <v>1</v>
      </c>
      <c r="AI38" t="b">
        <f t="shared" ca="1" si="47"/>
        <v>0</v>
      </c>
      <c r="AJ38" t="b">
        <f t="shared" ca="1" si="48"/>
        <v>0</v>
      </c>
      <c r="AK38" t="b">
        <f t="shared" si="49"/>
        <v>0</v>
      </c>
      <c r="AL38" t="b">
        <f t="shared" si="50"/>
        <v>0</v>
      </c>
      <c r="AM38" t="b">
        <f t="shared" si="51"/>
        <v>0</v>
      </c>
      <c r="AN38" t="b">
        <f t="shared" si="37"/>
        <v>0</v>
      </c>
      <c r="AO38" t="b">
        <f>IF(COUNTIF($D$6:D37,F38&amp;G38&amp;W38)&gt;0,AK38,FALSE)</f>
        <v>0</v>
      </c>
      <c r="AP38" t="b">
        <f t="shared" ca="1" si="19"/>
        <v>0</v>
      </c>
      <c r="AQ38" t="b">
        <f t="shared" si="52"/>
        <v>0</v>
      </c>
      <c r="AR38" t="b">
        <f t="shared" si="53"/>
        <v>0</v>
      </c>
      <c r="AS38" t="b">
        <f t="shared" ca="1" si="54"/>
        <v>0</v>
      </c>
      <c r="AT38" t="b">
        <f t="shared" ca="1" si="55"/>
        <v>0</v>
      </c>
      <c r="AU38" t="b">
        <f ca="1">IF(COUNTIF(設定!$B$6:$B$11,SUMIF($B$6:B37,G38&amp;W38,$C$6:C37)+IF(AI38,10,IF(AJ38,1,0)))=1,FALSE,AK38)</f>
        <v>0</v>
      </c>
      <c r="AV38" t="b">
        <f t="shared" ca="1" si="56"/>
        <v>0</v>
      </c>
      <c r="AW38" t="b">
        <f t="shared" ca="1" si="57"/>
        <v>0</v>
      </c>
      <c r="AX38" t="b">
        <f t="shared" si="58"/>
        <v>0</v>
      </c>
      <c r="AY38" t="b">
        <f t="shared" si="59"/>
        <v>0</v>
      </c>
      <c r="AZ38" t="b">
        <f t="shared" si="60"/>
        <v>0</v>
      </c>
      <c r="BA38" t="b">
        <f>IF(AND(設定!$B$2&lt;=T38,T38&lt;=設定!$B$3),FALSE,AK38)</f>
        <v>0</v>
      </c>
      <c r="BC38">
        <f t="shared" ca="1" si="4"/>
        <v>0</v>
      </c>
      <c r="BD38">
        <f t="shared" si="28"/>
        <v>33</v>
      </c>
      <c r="BE38" t="str">
        <f t="shared" si="29"/>
        <v/>
      </c>
      <c r="BF38">
        <f>IF(BG38&lt;&gt;"",MAX($BF$6:BF37)+1,0)</f>
        <v>0</v>
      </c>
      <c r="BG38" t="str">
        <f>IF(BE38&lt;&gt;"",IF(COUNTIF($BE$6:BE37,BE38)&gt;0,"",BE38),"")</f>
        <v/>
      </c>
      <c r="BH38" t="str">
        <f t="shared" si="30"/>
        <v/>
      </c>
      <c r="BI38">
        <f>IF(BJ38&lt;&gt;"",MAX($BI$6:BI37)+1,0)</f>
        <v>0</v>
      </c>
      <c r="BJ38" t="str">
        <f>IF(BH38&lt;&gt;"",IF(COUNTIF($BE$6:BH37,BH38)&gt;0,"",BH38),"")</f>
        <v/>
      </c>
    </row>
    <row r="39" spans="1:62" ht="16.5" customHeight="1">
      <c r="A39" t="str">
        <f t="shared" si="5"/>
        <v/>
      </c>
      <c r="B39" t="str">
        <f t="shared" si="38"/>
        <v/>
      </c>
      <c r="C39">
        <f t="shared" ca="1" si="33"/>
        <v>0</v>
      </c>
      <c r="D39" t="str">
        <f t="shared" si="7"/>
        <v/>
      </c>
      <c r="E39">
        <f>IF(B39="",0,LARGE($E$5:E38,1)+1)</f>
        <v>0</v>
      </c>
      <c r="F39" s="44"/>
      <c r="G39" s="45"/>
      <c r="H39" s="7" t="str">
        <f>IF(AND(F39="",G39=""),"",VLOOKUP(学校情報!$B$5&amp;F39&amp;G39,選手データ!$A:$H,4,FALSE))</f>
        <v/>
      </c>
      <c r="I39" s="7" t="str">
        <f>IF(AND(F39="",G39=""),"",VLOOKUP(学校情報!$B$5&amp;F39&amp;G39,選手データ!$A:$H,5,FALSE))</f>
        <v/>
      </c>
      <c r="J39" s="8" t="str">
        <f>IF(AND(F39="",G39=""),"",VLOOKUP(学校情報!$B$5&amp;F39&amp;G39,選手データ!$A:$H,6,FALSE))</f>
        <v/>
      </c>
      <c r="K39" s="32" t="str">
        <f>IF(AND(F39="",G39=""),"",VLOOKUP(学校情報!$B$5&amp;F39&amp;G39,選手データ!$A:$H,8,FALSE))</f>
        <v/>
      </c>
      <c r="L39" s="7" t="str">
        <f>IF(AND(F39="",G39=""),"",VLOOKUP(学校情報!$B$5&amp;F39&amp;G39,選手データ!$A:$I,9,FALSE))</f>
        <v/>
      </c>
      <c r="M39" s="44"/>
      <c r="N39" s="46"/>
      <c r="O39" s="47"/>
      <c r="P39" s="7" t="str">
        <f t="shared" ca="1" si="39"/>
        <v/>
      </c>
      <c r="Q39" s="46"/>
      <c r="R39" s="48"/>
      <c r="S39" s="45"/>
      <c r="T39" s="49"/>
      <c r="U39" s="8" t="str">
        <f t="shared" ca="1" si="40"/>
        <v/>
      </c>
      <c r="V39" s="8" t="str">
        <f t="shared" si="41"/>
        <v/>
      </c>
      <c r="W39" s="4">
        <f t="shared" si="42"/>
        <v>0</v>
      </c>
      <c r="X39" t="b">
        <f ca="1">IF(M39="",FALSE,VLOOKUP(M39,OFFSET(設定!$D$2:$I$25,0,AA39),2,FALSE))</f>
        <v>0</v>
      </c>
      <c r="Y39" t="str">
        <f ca="1">IF(M39="","",VLOOKUP(M39,OFFSET(設定!$D$2:$I$25,0,AA39),3,FALSE))</f>
        <v/>
      </c>
      <c r="Z39" t="b">
        <f ca="1">IF(M39="",FALSE,VLOOKUP(M39,OFFSET(設定!$D$2:$I$25,0,AA39),4,FALSE))</f>
        <v>0</v>
      </c>
      <c r="AA39">
        <f t="shared" si="9"/>
        <v>7</v>
      </c>
      <c r="AB39" s="1" t="str">
        <f ca="1">IF(M39="","",IF(AND(Z39,N39="〇"),IF(VLOOKUP(M39,OFFSET(設定!$D$2:$I$25,0,AA39),5,FALSE)="-","-",LEFT(VLOOKUP(M39,OFFSET(設定!$D$2:$I$25,0,AA39),5,FALSE),INT(LEN(VLOOKUP(M39,OFFSET(設定!$D$2:$I$25,0,AA39),5,FALSE))-1))),IF(VLOOKUP(M39,OFFSET(設定!$D$2:$I$25,0,AA39),5,FALSE)="-","-",INT(VLOOKUP(M39,OFFSET(設定!$D$2:$I$25,0,AA39),5,FALSE)))))</f>
        <v/>
      </c>
      <c r="AC39" s="1" t="str">
        <f ca="1">IF(M39="","",IF(AND(Z39,N39="〇"),IF(VLOOKUP(M39,OFFSET(設定!$D$2:$I$25,0,AA39),6,FALSE)="-","-",LEFT(VLOOKUP(M39,OFFSET(設定!$D$2:$I$25,0,AA39),6,FALSE),INT(LEN(VLOOKUP(M39,OFFSET(設定!$D$2:$I$25,0,AA39),6,FALSE))-1))),IF(VLOOKUP(M39,OFFSET(設定!$D$2:$I$25,0,AA39),6,FALSE)="-","-",INT(VLOOKUP(M39,OFFSET(設定!$D$2:$I$25,0,AA39),6,FALSE)))))</f>
        <v/>
      </c>
      <c r="AD39">
        <f t="shared" si="10"/>
        <v>2</v>
      </c>
      <c r="AE39" t="str">
        <f t="shared" ca="1" si="43"/>
        <v/>
      </c>
      <c r="AF39" t="str">
        <f t="shared" ca="1" si="44"/>
        <v/>
      </c>
      <c r="AG39" t="str">
        <f t="shared" ca="1" si="45"/>
        <v/>
      </c>
      <c r="AH39" t="b">
        <f t="shared" ca="1" si="46"/>
        <v>1</v>
      </c>
      <c r="AI39" t="b">
        <f t="shared" ca="1" si="47"/>
        <v>0</v>
      </c>
      <c r="AJ39" t="b">
        <f t="shared" ca="1" si="48"/>
        <v>0</v>
      </c>
      <c r="AK39" t="b">
        <f t="shared" si="49"/>
        <v>0</v>
      </c>
      <c r="AL39" t="b">
        <f t="shared" si="50"/>
        <v>0</v>
      </c>
      <c r="AM39" t="b">
        <f t="shared" si="51"/>
        <v>0</v>
      </c>
      <c r="AN39" t="b">
        <f t="shared" si="37"/>
        <v>0</v>
      </c>
      <c r="AO39" t="b">
        <f>IF(COUNTIF($D$6:D38,F39&amp;G39&amp;W39)&gt;0,AK39,FALSE)</f>
        <v>0</v>
      </c>
      <c r="AP39" t="b">
        <f t="shared" ca="1" si="19"/>
        <v>0</v>
      </c>
      <c r="AQ39" t="b">
        <f t="shared" si="52"/>
        <v>0</v>
      </c>
      <c r="AR39" t="b">
        <f t="shared" si="53"/>
        <v>0</v>
      </c>
      <c r="AS39" t="b">
        <f t="shared" ca="1" si="54"/>
        <v>0</v>
      </c>
      <c r="AT39" t="b">
        <f t="shared" ca="1" si="55"/>
        <v>0</v>
      </c>
      <c r="AU39" t="b">
        <f ca="1">IF(COUNTIF(設定!$B$6:$B$11,SUMIF($B$6:B38,G39&amp;W39,$C$6:C38)+IF(AI39,10,IF(AJ39,1,0)))=1,FALSE,AK39)</f>
        <v>0</v>
      </c>
      <c r="AV39" t="b">
        <f t="shared" ca="1" si="56"/>
        <v>0</v>
      </c>
      <c r="AW39" t="b">
        <f t="shared" ca="1" si="57"/>
        <v>0</v>
      </c>
      <c r="AX39" t="b">
        <f t="shared" si="58"/>
        <v>0</v>
      </c>
      <c r="AY39" t="b">
        <f t="shared" si="59"/>
        <v>0</v>
      </c>
      <c r="AZ39" t="b">
        <f t="shared" si="60"/>
        <v>0</v>
      </c>
      <c r="BA39" t="b">
        <f>IF(AND(設定!$B$2&lt;=T39,T39&lt;=設定!$B$3),FALSE,AK39)</f>
        <v>0</v>
      </c>
      <c r="BC39">
        <f t="shared" ca="1" si="4"/>
        <v>0</v>
      </c>
      <c r="BD39">
        <f t="shared" si="28"/>
        <v>34</v>
      </c>
      <c r="BE39" t="str">
        <f t="shared" si="29"/>
        <v/>
      </c>
      <c r="BF39">
        <f>IF(BG39&lt;&gt;"",MAX($BF$6:BF38)+1,0)</f>
        <v>0</v>
      </c>
      <c r="BG39" t="str">
        <f>IF(BE39&lt;&gt;"",IF(COUNTIF($BE$6:BE38,BE39)&gt;0,"",BE39),"")</f>
        <v/>
      </c>
      <c r="BH39" t="str">
        <f t="shared" si="30"/>
        <v/>
      </c>
      <c r="BI39">
        <f>IF(BJ39&lt;&gt;"",MAX($BI$6:BI38)+1,0)</f>
        <v>0</v>
      </c>
      <c r="BJ39" t="str">
        <f>IF(BH39&lt;&gt;"",IF(COUNTIF($BE$6:BH38,BH39)&gt;0,"",BH39),"")</f>
        <v/>
      </c>
    </row>
    <row r="40" spans="1:62" ht="16.5" customHeight="1">
      <c r="A40" t="str">
        <f t="shared" si="5"/>
        <v/>
      </c>
      <c r="B40" t="str">
        <f t="shared" si="38"/>
        <v/>
      </c>
      <c r="C40">
        <f t="shared" ca="1" si="33"/>
        <v>0</v>
      </c>
      <c r="D40" t="str">
        <f t="shared" si="7"/>
        <v/>
      </c>
      <c r="E40">
        <f>IF(B40="",0,LARGE($E$5:E39,1)+1)</f>
        <v>0</v>
      </c>
      <c r="F40" s="44"/>
      <c r="G40" s="45"/>
      <c r="H40" s="7" t="str">
        <f>IF(AND(F40="",G40=""),"",VLOOKUP(学校情報!$B$5&amp;F40&amp;G40,選手データ!$A:$H,4,FALSE))</f>
        <v/>
      </c>
      <c r="I40" s="7" t="str">
        <f>IF(AND(F40="",G40=""),"",VLOOKUP(学校情報!$B$5&amp;F40&amp;G40,選手データ!$A:$H,5,FALSE))</f>
        <v/>
      </c>
      <c r="J40" s="8" t="str">
        <f>IF(AND(F40="",G40=""),"",VLOOKUP(学校情報!$B$5&amp;F40&amp;G40,選手データ!$A:$H,6,FALSE))</f>
        <v/>
      </c>
      <c r="K40" s="32" t="str">
        <f>IF(AND(F40="",G40=""),"",VLOOKUP(学校情報!$B$5&amp;F40&amp;G40,選手データ!$A:$H,8,FALSE))</f>
        <v/>
      </c>
      <c r="L40" s="7" t="str">
        <f>IF(AND(F40="",G40=""),"",VLOOKUP(学校情報!$B$5&amp;F40&amp;G40,選手データ!$A:$I,9,FALSE))</f>
        <v/>
      </c>
      <c r="M40" s="44"/>
      <c r="N40" s="46"/>
      <c r="O40" s="47"/>
      <c r="P40" s="7" t="str">
        <f t="shared" ca="1" si="39"/>
        <v/>
      </c>
      <c r="Q40" s="46"/>
      <c r="R40" s="48"/>
      <c r="S40" s="45"/>
      <c r="T40" s="49"/>
      <c r="U40" s="8" t="str">
        <f t="shared" ca="1" si="40"/>
        <v/>
      </c>
      <c r="V40" s="8" t="str">
        <f t="shared" si="41"/>
        <v/>
      </c>
      <c r="W40" s="4">
        <f t="shared" si="42"/>
        <v>0</v>
      </c>
      <c r="X40" t="b">
        <f ca="1">IF(M40="",FALSE,VLOOKUP(M40,OFFSET(設定!$D$2:$I$25,0,AA40),2,FALSE))</f>
        <v>0</v>
      </c>
      <c r="Y40" t="str">
        <f ca="1">IF(M40="","",VLOOKUP(M40,OFFSET(設定!$D$2:$I$25,0,AA40),3,FALSE))</f>
        <v/>
      </c>
      <c r="Z40" t="b">
        <f ca="1">IF(M40="",FALSE,VLOOKUP(M40,OFFSET(設定!$D$2:$I$25,0,AA40),4,FALSE))</f>
        <v>0</v>
      </c>
      <c r="AA40">
        <f t="shared" si="9"/>
        <v>7</v>
      </c>
      <c r="AB40" s="1" t="str">
        <f ca="1">IF(M40="","",IF(AND(Z40,N40="〇"),IF(VLOOKUP(M40,OFFSET(設定!$D$2:$I$25,0,AA40),5,FALSE)="-","-",LEFT(VLOOKUP(M40,OFFSET(設定!$D$2:$I$25,0,AA40),5,FALSE),INT(LEN(VLOOKUP(M40,OFFSET(設定!$D$2:$I$25,0,AA40),5,FALSE))-1))),IF(VLOOKUP(M40,OFFSET(設定!$D$2:$I$25,0,AA40),5,FALSE)="-","-",INT(VLOOKUP(M40,OFFSET(設定!$D$2:$I$25,0,AA40),5,FALSE)))))</f>
        <v/>
      </c>
      <c r="AC40" s="1" t="str">
        <f ca="1">IF(M40="","",IF(AND(Z40,N40="〇"),IF(VLOOKUP(M40,OFFSET(設定!$D$2:$I$25,0,AA40),6,FALSE)="-","-",LEFT(VLOOKUP(M40,OFFSET(設定!$D$2:$I$25,0,AA40),6,FALSE),INT(LEN(VLOOKUP(M40,OFFSET(設定!$D$2:$I$25,0,AA40),6,FALSE))-1))),IF(VLOOKUP(M40,OFFSET(設定!$D$2:$I$25,0,AA40),6,FALSE)="-","-",INT(VLOOKUP(M40,OFFSET(設定!$D$2:$I$25,0,AA40),6,FALSE)))))</f>
        <v/>
      </c>
      <c r="AD40">
        <f t="shared" si="10"/>
        <v>2</v>
      </c>
      <c r="AE40" t="str">
        <f t="shared" ca="1" si="43"/>
        <v/>
      </c>
      <c r="AF40" t="str">
        <f t="shared" ca="1" si="44"/>
        <v/>
      </c>
      <c r="AG40" t="str">
        <f t="shared" ca="1" si="45"/>
        <v/>
      </c>
      <c r="AH40" t="b">
        <f t="shared" ca="1" si="46"/>
        <v>1</v>
      </c>
      <c r="AI40" t="b">
        <f t="shared" ca="1" si="47"/>
        <v>0</v>
      </c>
      <c r="AJ40" t="b">
        <f t="shared" ca="1" si="48"/>
        <v>0</v>
      </c>
      <c r="AK40" t="b">
        <f t="shared" si="49"/>
        <v>0</v>
      </c>
      <c r="AL40" t="b">
        <f t="shared" si="50"/>
        <v>0</v>
      </c>
      <c r="AM40" t="b">
        <f t="shared" si="51"/>
        <v>0</v>
      </c>
      <c r="AN40" t="b">
        <f t="shared" si="37"/>
        <v>0</v>
      </c>
      <c r="AO40" t="b">
        <f>IF(COUNTIF($D$6:D39,F40&amp;G40&amp;W40)&gt;0,AK40,FALSE)</f>
        <v>0</v>
      </c>
      <c r="AP40" t="b">
        <f t="shared" ca="1" si="19"/>
        <v>0</v>
      </c>
      <c r="AQ40" t="b">
        <f t="shared" si="52"/>
        <v>0</v>
      </c>
      <c r="AR40" t="b">
        <f t="shared" si="53"/>
        <v>0</v>
      </c>
      <c r="AS40" t="b">
        <f t="shared" ca="1" si="54"/>
        <v>0</v>
      </c>
      <c r="AT40" t="b">
        <f t="shared" ca="1" si="55"/>
        <v>0</v>
      </c>
      <c r="AU40" t="b">
        <f ca="1">IF(COUNTIF(設定!$B$6:$B$11,SUMIF($B$6:B39,G40&amp;W40,$C$6:C39)+IF(AI40,10,IF(AJ40,1,0)))=1,FALSE,AK40)</f>
        <v>0</v>
      </c>
      <c r="AV40" t="b">
        <f t="shared" ca="1" si="56"/>
        <v>0</v>
      </c>
      <c r="AW40" t="b">
        <f t="shared" ca="1" si="57"/>
        <v>0</v>
      </c>
      <c r="AX40" t="b">
        <f t="shared" si="58"/>
        <v>0</v>
      </c>
      <c r="AY40" t="b">
        <f t="shared" si="59"/>
        <v>0</v>
      </c>
      <c r="AZ40" t="b">
        <f t="shared" si="60"/>
        <v>0</v>
      </c>
      <c r="BA40" t="b">
        <f>IF(AND(設定!$B$2&lt;=T40,T40&lt;=設定!$B$3),FALSE,AK40)</f>
        <v>0</v>
      </c>
      <c r="BC40">
        <f t="shared" ca="1" si="4"/>
        <v>0</v>
      </c>
      <c r="BD40">
        <f t="shared" si="28"/>
        <v>35</v>
      </c>
      <c r="BE40" t="str">
        <f t="shared" si="29"/>
        <v/>
      </c>
      <c r="BF40">
        <f>IF(BG40&lt;&gt;"",MAX($BF$6:BF39)+1,0)</f>
        <v>0</v>
      </c>
      <c r="BG40" t="str">
        <f>IF(BE40&lt;&gt;"",IF(COUNTIF($BE$6:BE39,BE40)&gt;0,"",BE40),"")</f>
        <v/>
      </c>
      <c r="BH40" t="str">
        <f t="shared" si="30"/>
        <v/>
      </c>
      <c r="BI40">
        <f>IF(BJ40&lt;&gt;"",MAX($BI$6:BI39)+1,0)</f>
        <v>0</v>
      </c>
      <c r="BJ40" t="str">
        <f>IF(BH40&lt;&gt;"",IF(COUNTIF($BE$6:BH39,BH40)&gt;0,"",BH40),"")</f>
        <v/>
      </c>
    </row>
    <row r="41" spans="1:62" ht="16.5" customHeight="1">
      <c r="A41" t="str">
        <f t="shared" si="5"/>
        <v/>
      </c>
      <c r="B41" t="str">
        <f t="shared" si="38"/>
        <v/>
      </c>
      <c r="C41">
        <f t="shared" ref="C41:C61" ca="1" si="61">IF(AI41,10,IF(AJ41,1,0))</f>
        <v>0</v>
      </c>
      <c r="D41" t="str">
        <f t="shared" si="7"/>
        <v/>
      </c>
      <c r="E41">
        <f>IF(B41="",0,LARGE($E$5:E40,1)+1)</f>
        <v>0</v>
      </c>
      <c r="F41" s="44"/>
      <c r="G41" s="45"/>
      <c r="H41" s="7" t="str">
        <f>IF(AND(F41="",G41=""),"",VLOOKUP(学校情報!$B$5&amp;F41&amp;G41,選手データ!$A:$H,4,FALSE))</f>
        <v/>
      </c>
      <c r="I41" s="7" t="str">
        <f>IF(AND(F41="",G41=""),"",VLOOKUP(学校情報!$B$5&amp;F41&amp;G41,選手データ!$A:$H,5,FALSE))</f>
        <v/>
      </c>
      <c r="J41" s="8" t="str">
        <f>IF(AND(F41="",G41=""),"",VLOOKUP(学校情報!$B$5&amp;F41&amp;G41,選手データ!$A:$H,6,FALSE))</f>
        <v/>
      </c>
      <c r="K41" s="32" t="str">
        <f>IF(AND(F41="",G41=""),"",VLOOKUP(学校情報!$B$5&amp;F41&amp;G41,選手データ!$A:$H,8,FALSE))</f>
        <v/>
      </c>
      <c r="L41" s="7" t="str">
        <f>IF(AND(F41="",G41=""),"",VLOOKUP(学校情報!$B$5&amp;F41&amp;G41,選手データ!$A:$I,9,FALSE))</f>
        <v/>
      </c>
      <c r="M41" s="44"/>
      <c r="N41" s="46"/>
      <c r="O41" s="47"/>
      <c r="P41" s="7" t="str">
        <f t="shared" ca="1" si="39"/>
        <v/>
      </c>
      <c r="Q41" s="46"/>
      <c r="R41" s="48"/>
      <c r="S41" s="45"/>
      <c r="T41" s="49"/>
      <c r="U41" s="8" t="str">
        <f t="shared" ca="1" si="40"/>
        <v/>
      </c>
      <c r="V41" s="8" t="str">
        <f t="shared" si="41"/>
        <v/>
      </c>
      <c r="W41" s="4">
        <f t="shared" si="42"/>
        <v>0</v>
      </c>
      <c r="X41" t="b">
        <f ca="1">IF(M41="",FALSE,VLOOKUP(M41,OFFSET(設定!$D$2:$I$25,0,AA41),2,FALSE))</f>
        <v>0</v>
      </c>
      <c r="Y41" t="str">
        <f ca="1">IF(M41="","",VLOOKUP(M41,OFFSET(設定!$D$2:$I$25,0,AA41),3,FALSE))</f>
        <v/>
      </c>
      <c r="Z41" t="b">
        <f ca="1">IF(M41="",FALSE,VLOOKUP(M41,OFFSET(設定!$D$2:$I$25,0,AA41),4,FALSE))</f>
        <v>0</v>
      </c>
      <c r="AA41">
        <f t="shared" si="9"/>
        <v>7</v>
      </c>
      <c r="AB41" s="1" t="str">
        <f ca="1">IF(M41="","",IF(AND(Z41,N41="〇"),IF(VLOOKUP(M41,OFFSET(設定!$D$2:$I$25,0,AA41),5,FALSE)="-","-",LEFT(VLOOKUP(M41,OFFSET(設定!$D$2:$I$25,0,AA41),5,FALSE),INT(LEN(VLOOKUP(M41,OFFSET(設定!$D$2:$I$25,0,AA41),5,FALSE))-1))),IF(VLOOKUP(M41,OFFSET(設定!$D$2:$I$25,0,AA41),5,FALSE)="-","-",INT(VLOOKUP(M41,OFFSET(設定!$D$2:$I$25,0,AA41),5,FALSE)))))</f>
        <v/>
      </c>
      <c r="AC41" s="1" t="str">
        <f ca="1">IF(M41="","",IF(AND(Z41,N41="〇"),IF(VLOOKUP(M41,OFFSET(設定!$D$2:$I$25,0,AA41),6,FALSE)="-","-",LEFT(VLOOKUP(M41,OFFSET(設定!$D$2:$I$25,0,AA41),6,FALSE),INT(LEN(VLOOKUP(M41,OFFSET(設定!$D$2:$I$25,0,AA41),6,FALSE))-1))),IF(VLOOKUP(M41,OFFSET(設定!$D$2:$I$25,0,AA41),6,FALSE)="-","-",INT(VLOOKUP(M41,OFFSET(設定!$D$2:$I$25,0,AA41),6,FALSE)))))</f>
        <v/>
      </c>
      <c r="AD41">
        <f t="shared" si="10"/>
        <v>2</v>
      </c>
      <c r="AE41" t="str">
        <f t="shared" ca="1" si="43"/>
        <v/>
      </c>
      <c r="AF41" t="str">
        <f t="shared" ca="1" si="44"/>
        <v/>
      </c>
      <c r="AG41" t="str">
        <f t="shared" ca="1" si="45"/>
        <v/>
      </c>
      <c r="AH41" t="b">
        <f t="shared" ca="1" si="46"/>
        <v>1</v>
      </c>
      <c r="AI41" t="b">
        <f t="shared" ca="1" si="47"/>
        <v>0</v>
      </c>
      <c r="AJ41" t="b">
        <f t="shared" ca="1" si="48"/>
        <v>0</v>
      </c>
      <c r="AK41" t="b">
        <f t="shared" si="49"/>
        <v>0</v>
      </c>
      <c r="AL41" t="b">
        <f t="shared" si="50"/>
        <v>0</v>
      </c>
      <c r="AM41" t="b">
        <f t="shared" si="51"/>
        <v>0</v>
      </c>
      <c r="AN41" t="b">
        <f t="shared" si="37"/>
        <v>0</v>
      </c>
      <c r="AO41" t="b">
        <f>IF(COUNTIF($D$6:D40,F41&amp;G41&amp;W41)&gt;0,AK41,FALSE)</f>
        <v>0</v>
      </c>
      <c r="AP41" t="b">
        <f t="shared" ca="1" si="19"/>
        <v>0</v>
      </c>
      <c r="AQ41" t="b">
        <f t="shared" si="52"/>
        <v>0</v>
      </c>
      <c r="AR41" t="b">
        <f t="shared" si="53"/>
        <v>0</v>
      </c>
      <c r="AS41" t="b">
        <f t="shared" ca="1" si="54"/>
        <v>0</v>
      </c>
      <c r="AT41" t="b">
        <f t="shared" ca="1" si="55"/>
        <v>0</v>
      </c>
      <c r="AU41" t="b">
        <f ca="1">IF(COUNTIF(設定!$B$6:$B$11,SUMIF($B$6:B40,G41&amp;W41,$C$6:C40)+IF(AI41,10,IF(AJ41,1,0)))=1,FALSE,AK41)</f>
        <v>0</v>
      </c>
      <c r="AV41" t="b">
        <f t="shared" ca="1" si="56"/>
        <v>0</v>
      </c>
      <c r="AW41" t="b">
        <f t="shared" ca="1" si="57"/>
        <v>0</v>
      </c>
      <c r="AX41" t="b">
        <f t="shared" si="58"/>
        <v>0</v>
      </c>
      <c r="AY41" t="b">
        <f t="shared" si="59"/>
        <v>0</v>
      </c>
      <c r="AZ41" t="b">
        <f t="shared" si="60"/>
        <v>0</v>
      </c>
      <c r="BA41" t="b">
        <f>IF(AND(設定!$B$2&lt;=T41,T41&lt;=設定!$B$3),FALSE,AK41)</f>
        <v>0</v>
      </c>
      <c r="BC41">
        <f t="shared" ca="1" si="4"/>
        <v>0</v>
      </c>
      <c r="BD41">
        <f t="shared" si="28"/>
        <v>36</v>
      </c>
      <c r="BE41" t="str">
        <f t="shared" si="29"/>
        <v/>
      </c>
      <c r="BF41">
        <f>IF(BG41&lt;&gt;"",MAX($BF$6:BF40)+1,0)</f>
        <v>0</v>
      </c>
      <c r="BG41" t="str">
        <f>IF(BE41&lt;&gt;"",IF(COUNTIF($BE$6:BE40,BE41)&gt;0,"",BE41),"")</f>
        <v/>
      </c>
      <c r="BH41" t="str">
        <f t="shared" si="30"/>
        <v/>
      </c>
      <c r="BI41">
        <f>IF(BJ41&lt;&gt;"",MAX($BI$6:BI40)+1,0)</f>
        <v>0</v>
      </c>
      <c r="BJ41" t="str">
        <f>IF(BH41&lt;&gt;"",IF(COUNTIF($BE$6:BH40,BH41)&gt;0,"",BH41),"")</f>
        <v/>
      </c>
    </row>
    <row r="42" spans="1:62" ht="16.5" customHeight="1">
      <c r="A42" t="str">
        <f t="shared" si="5"/>
        <v/>
      </c>
      <c r="B42" t="str">
        <f t="shared" si="38"/>
        <v/>
      </c>
      <c r="C42">
        <f t="shared" ca="1" si="61"/>
        <v>0</v>
      </c>
      <c r="D42" t="str">
        <f t="shared" si="7"/>
        <v/>
      </c>
      <c r="E42">
        <f>IF(B42="",0,LARGE($E$5:E41,1)+1)</f>
        <v>0</v>
      </c>
      <c r="F42" s="44"/>
      <c r="G42" s="45"/>
      <c r="H42" s="7" t="str">
        <f>IF(AND(F42="",G42=""),"",VLOOKUP(学校情報!$B$5&amp;F42&amp;G42,選手データ!$A:$H,4,FALSE))</f>
        <v/>
      </c>
      <c r="I42" s="7" t="str">
        <f>IF(AND(F42="",G42=""),"",VLOOKUP(学校情報!$B$5&amp;F42&amp;G42,選手データ!$A:$H,5,FALSE))</f>
        <v/>
      </c>
      <c r="J42" s="8" t="str">
        <f>IF(AND(F42="",G42=""),"",VLOOKUP(学校情報!$B$5&amp;F42&amp;G42,選手データ!$A:$H,6,FALSE))</f>
        <v/>
      </c>
      <c r="K42" s="32" t="str">
        <f>IF(AND(F42="",G42=""),"",VLOOKUP(学校情報!$B$5&amp;F42&amp;G42,選手データ!$A:$H,8,FALSE))</f>
        <v/>
      </c>
      <c r="L42" s="7" t="str">
        <f>IF(AND(F42="",G42=""),"",VLOOKUP(学校情報!$B$5&amp;F42&amp;G42,選手データ!$A:$I,9,FALSE))</f>
        <v/>
      </c>
      <c r="M42" s="44"/>
      <c r="N42" s="46"/>
      <c r="O42" s="47"/>
      <c r="P42" s="7" t="str">
        <f t="shared" ca="1" si="39"/>
        <v/>
      </c>
      <c r="Q42" s="46"/>
      <c r="R42" s="48"/>
      <c r="S42" s="45"/>
      <c r="T42" s="49"/>
      <c r="U42" s="8" t="str">
        <f t="shared" ca="1" si="40"/>
        <v/>
      </c>
      <c r="V42" s="8" t="str">
        <f t="shared" si="41"/>
        <v/>
      </c>
      <c r="W42" s="4">
        <f t="shared" si="42"/>
        <v>0</v>
      </c>
      <c r="X42" t="b">
        <f ca="1">IF(M42="",FALSE,VLOOKUP(M42,OFFSET(設定!$D$2:$I$25,0,AA42),2,FALSE))</f>
        <v>0</v>
      </c>
      <c r="Y42" t="str">
        <f ca="1">IF(M42="","",VLOOKUP(M42,OFFSET(設定!$D$2:$I$25,0,AA42),3,FALSE))</f>
        <v/>
      </c>
      <c r="Z42" t="b">
        <f ca="1">IF(M42="",FALSE,VLOOKUP(M42,OFFSET(設定!$D$2:$I$25,0,AA42),4,FALSE))</f>
        <v>0</v>
      </c>
      <c r="AA42">
        <f t="shared" si="9"/>
        <v>7</v>
      </c>
      <c r="AB42" s="1" t="str">
        <f ca="1">IF(M42="","",IF(AND(Z42,N42="〇"),IF(VLOOKUP(M42,OFFSET(設定!$D$2:$I$25,0,AA42),5,FALSE)="-","-",LEFT(VLOOKUP(M42,OFFSET(設定!$D$2:$I$25,0,AA42),5,FALSE),INT(LEN(VLOOKUP(M42,OFFSET(設定!$D$2:$I$25,0,AA42),5,FALSE))-1))),IF(VLOOKUP(M42,OFFSET(設定!$D$2:$I$25,0,AA42),5,FALSE)="-","-",INT(VLOOKUP(M42,OFFSET(設定!$D$2:$I$25,0,AA42),5,FALSE)))))</f>
        <v/>
      </c>
      <c r="AC42" s="1" t="str">
        <f ca="1">IF(M42="","",IF(AND(Z42,N42="〇"),IF(VLOOKUP(M42,OFFSET(設定!$D$2:$I$25,0,AA42),6,FALSE)="-","-",LEFT(VLOOKUP(M42,OFFSET(設定!$D$2:$I$25,0,AA42),6,FALSE),INT(LEN(VLOOKUP(M42,OFFSET(設定!$D$2:$I$25,0,AA42),6,FALSE))-1))),IF(VLOOKUP(M42,OFFSET(設定!$D$2:$I$25,0,AA42),6,FALSE)="-","-",INT(VLOOKUP(M42,OFFSET(設定!$D$2:$I$25,0,AA42),6,FALSE)))))</f>
        <v/>
      </c>
      <c r="AD42">
        <f t="shared" si="10"/>
        <v>2</v>
      </c>
      <c r="AE42" t="str">
        <f t="shared" ca="1" si="43"/>
        <v/>
      </c>
      <c r="AF42" t="str">
        <f t="shared" ca="1" si="44"/>
        <v/>
      </c>
      <c r="AG42" t="str">
        <f t="shared" ca="1" si="45"/>
        <v/>
      </c>
      <c r="AH42" t="b">
        <f t="shared" ca="1" si="46"/>
        <v>1</v>
      </c>
      <c r="AI42" t="b">
        <f t="shared" ca="1" si="47"/>
        <v>0</v>
      </c>
      <c r="AJ42" t="b">
        <f t="shared" ca="1" si="48"/>
        <v>0</v>
      </c>
      <c r="AK42" t="b">
        <f t="shared" si="49"/>
        <v>0</v>
      </c>
      <c r="AL42" t="b">
        <f t="shared" si="50"/>
        <v>0</v>
      </c>
      <c r="AM42" t="b">
        <f t="shared" si="51"/>
        <v>0</v>
      </c>
      <c r="AN42" t="b">
        <f t="shared" si="37"/>
        <v>0</v>
      </c>
      <c r="AO42" t="b">
        <f>IF(COUNTIF($D$6:D41,F42&amp;G42&amp;W42)&gt;0,AK42,FALSE)</f>
        <v>0</v>
      </c>
      <c r="AP42" t="b">
        <f t="shared" ca="1" si="19"/>
        <v>0</v>
      </c>
      <c r="AQ42" t="b">
        <f t="shared" si="52"/>
        <v>0</v>
      </c>
      <c r="AR42" t="b">
        <f t="shared" si="53"/>
        <v>0</v>
      </c>
      <c r="AS42" t="b">
        <f t="shared" ca="1" si="54"/>
        <v>0</v>
      </c>
      <c r="AT42" t="b">
        <f t="shared" ca="1" si="55"/>
        <v>0</v>
      </c>
      <c r="AU42" t="b">
        <f ca="1">IF(COUNTIF(設定!$B$6:$B$11,SUMIF($B$6:B41,G42&amp;W42,$C$6:C41)+IF(AI42,10,IF(AJ42,1,0)))=1,FALSE,AK42)</f>
        <v>0</v>
      </c>
      <c r="AV42" t="b">
        <f t="shared" ca="1" si="56"/>
        <v>0</v>
      </c>
      <c r="AW42" t="b">
        <f t="shared" ca="1" si="57"/>
        <v>0</v>
      </c>
      <c r="AX42" t="b">
        <f t="shared" si="58"/>
        <v>0</v>
      </c>
      <c r="AY42" t="b">
        <f t="shared" si="59"/>
        <v>0</v>
      </c>
      <c r="AZ42" t="b">
        <f t="shared" si="60"/>
        <v>0</v>
      </c>
      <c r="BA42" t="b">
        <f>IF(AND(設定!$B$2&lt;=T42,T42&lt;=設定!$B$3),FALSE,AK42)</f>
        <v>0</v>
      </c>
      <c r="BC42">
        <f t="shared" ca="1" si="4"/>
        <v>0</v>
      </c>
      <c r="BD42">
        <f t="shared" si="28"/>
        <v>37</v>
      </c>
      <c r="BE42" t="str">
        <f t="shared" si="29"/>
        <v/>
      </c>
      <c r="BF42">
        <f>IF(BG42&lt;&gt;"",MAX($BF$6:BF41)+1,0)</f>
        <v>0</v>
      </c>
      <c r="BG42" t="str">
        <f>IF(BE42&lt;&gt;"",IF(COUNTIF($BE$6:BE41,BE42)&gt;0,"",BE42),"")</f>
        <v/>
      </c>
      <c r="BH42" t="str">
        <f t="shared" si="30"/>
        <v/>
      </c>
      <c r="BI42">
        <f>IF(BJ42&lt;&gt;"",MAX($BI$6:BI41)+1,0)</f>
        <v>0</v>
      </c>
      <c r="BJ42" t="str">
        <f>IF(BH42&lt;&gt;"",IF(COUNTIF($BE$6:BH41,BH42)&gt;0,"",BH42),"")</f>
        <v/>
      </c>
    </row>
    <row r="43" spans="1:62" ht="16.5" customHeight="1">
      <c r="A43" t="str">
        <f t="shared" si="5"/>
        <v/>
      </c>
      <c r="B43" t="str">
        <f t="shared" si="38"/>
        <v/>
      </c>
      <c r="C43">
        <f t="shared" ca="1" si="61"/>
        <v>0</v>
      </c>
      <c r="D43" t="str">
        <f t="shared" si="7"/>
        <v/>
      </c>
      <c r="E43">
        <f>IF(B43="",0,LARGE($E$5:E42,1)+1)</f>
        <v>0</v>
      </c>
      <c r="F43" s="44"/>
      <c r="G43" s="45"/>
      <c r="H43" s="7" t="str">
        <f>IF(AND(F43="",G43=""),"",VLOOKUP(学校情報!$B$5&amp;F43&amp;G43,選手データ!$A:$H,4,FALSE))</f>
        <v/>
      </c>
      <c r="I43" s="7" t="str">
        <f>IF(AND(F43="",G43=""),"",VLOOKUP(学校情報!$B$5&amp;F43&amp;G43,選手データ!$A:$H,5,FALSE))</f>
        <v/>
      </c>
      <c r="J43" s="8" t="str">
        <f>IF(AND(F43="",G43=""),"",VLOOKUP(学校情報!$B$5&amp;F43&amp;G43,選手データ!$A:$H,6,FALSE))</f>
        <v/>
      </c>
      <c r="K43" s="32" t="str">
        <f>IF(AND(F43="",G43=""),"",VLOOKUP(学校情報!$B$5&amp;F43&amp;G43,選手データ!$A:$H,8,FALSE))</f>
        <v/>
      </c>
      <c r="L43" s="7" t="str">
        <f>IF(AND(F43="",G43=""),"",VLOOKUP(学校情報!$B$5&amp;F43&amp;G43,選手データ!$A:$I,9,FALSE))</f>
        <v/>
      </c>
      <c r="M43" s="44"/>
      <c r="N43" s="46"/>
      <c r="O43" s="47"/>
      <c r="P43" s="7" t="str">
        <f t="shared" ca="1" si="39"/>
        <v/>
      </c>
      <c r="Q43" s="46"/>
      <c r="R43" s="48"/>
      <c r="S43" s="45"/>
      <c r="T43" s="49"/>
      <c r="U43" s="8" t="str">
        <f t="shared" ca="1" si="40"/>
        <v/>
      </c>
      <c r="V43" s="8" t="str">
        <f t="shared" si="41"/>
        <v/>
      </c>
      <c r="W43" s="4">
        <f t="shared" si="42"/>
        <v>0</v>
      </c>
      <c r="X43" t="b">
        <f ca="1">IF(M43="",FALSE,VLOOKUP(M43,OFFSET(設定!$D$2:$I$25,0,AA43),2,FALSE))</f>
        <v>0</v>
      </c>
      <c r="Y43" t="str">
        <f ca="1">IF(M43="","",VLOOKUP(M43,OFFSET(設定!$D$2:$I$25,0,AA43),3,FALSE))</f>
        <v/>
      </c>
      <c r="Z43" t="b">
        <f ca="1">IF(M43="",FALSE,VLOOKUP(M43,OFFSET(設定!$D$2:$I$25,0,AA43),4,FALSE))</f>
        <v>0</v>
      </c>
      <c r="AA43">
        <f t="shared" si="9"/>
        <v>7</v>
      </c>
      <c r="AB43" s="1" t="str">
        <f ca="1">IF(M43="","",IF(AND(Z43,N43="〇"),IF(VLOOKUP(M43,OFFSET(設定!$D$2:$I$25,0,AA43),5,FALSE)="-","-",LEFT(VLOOKUP(M43,OFFSET(設定!$D$2:$I$25,0,AA43),5,FALSE),INT(LEN(VLOOKUP(M43,OFFSET(設定!$D$2:$I$25,0,AA43),5,FALSE))-1))),IF(VLOOKUP(M43,OFFSET(設定!$D$2:$I$25,0,AA43),5,FALSE)="-","-",INT(VLOOKUP(M43,OFFSET(設定!$D$2:$I$25,0,AA43),5,FALSE)))))</f>
        <v/>
      </c>
      <c r="AC43" s="1" t="str">
        <f ca="1">IF(M43="","",IF(AND(Z43,N43="〇"),IF(VLOOKUP(M43,OFFSET(設定!$D$2:$I$25,0,AA43),6,FALSE)="-","-",LEFT(VLOOKUP(M43,OFFSET(設定!$D$2:$I$25,0,AA43),6,FALSE),INT(LEN(VLOOKUP(M43,OFFSET(設定!$D$2:$I$25,0,AA43),6,FALSE))-1))),IF(VLOOKUP(M43,OFFSET(設定!$D$2:$I$25,0,AA43),6,FALSE)="-","-",INT(VLOOKUP(M43,OFFSET(設定!$D$2:$I$25,0,AA43),6,FALSE)))))</f>
        <v/>
      </c>
      <c r="AD43">
        <f t="shared" si="10"/>
        <v>2</v>
      </c>
      <c r="AE43" t="str">
        <f t="shared" ca="1" si="43"/>
        <v/>
      </c>
      <c r="AF43" t="str">
        <f t="shared" ca="1" si="44"/>
        <v/>
      </c>
      <c r="AG43" t="str">
        <f t="shared" ca="1" si="45"/>
        <v/>
      </c>
      <c r="AH43" t="b">
        <f t="shared" ca="1" si="46"/>
        <v>1</v>
      </c>
      <c r="AI43" t="b">
        <f t="shared" ca="1" si="47"/>
        <v>0</v>
      </c>
      <c r="AJ43" t="b">
        <f t="shared" ca="1" si="48"/>
        <v>0</v>
      </c>
      <c r="AK43" t="b">
        <f t="shared" si="49"/>
        <v>0</v>
      </c>
      <c r="AL43" t="b">
        <f t="shared" si="50"/>
        <v>0</v>
      </c>
      <c r="AM43" t="b">
        <f t="shared" si="51"/>
        <v>0</v>
      </c>
      <c r="AN43" t="b">
        <f t="shared" si="37"/>
        <v>0</v>
      </c>
      <c r="AO43" t="b">
        <f>IF(COUNTIF($D$6:D42,F43&amp;G43&amp;W43)&gt;0,AK43,FALSE)</f>
        <v>0</v>
      </c>
      <c r="AP43" t="b">
        <f t="shared" ca="1" si="19"/>
        <v>0</v>
      </c>
      <c r="AQ43" t="b">
        <f t="shared" si="52"/>
        <v>0</v>
      </c>
      <c r="AR43" t="b">
        <f t="shared" si="53"/>
        <v>0</v>
      </c>
      <c r="AS43" t="b">
        <f t="shared" ca="1" si="54"/>
        <v>0</v>
      </c>
      <c r="AT43" t="b">
        <f t="shared" ca="1" si="55"/>
        <v>0</v>
      </c>
      <c r="AU43" t="b">
        <f ca="1">IF(COUNTIF(設定!$B$6:$B$11,SUMIF($B$6:B42,G43&amp;W43,$C$6:C42)+IF(AI43,10,IF(AJ43,1,0)))=1,FALSE,AK43)</f>
        <v>0</v>
      </c>
      <c r="AV43" t="b">
        <f t="shared" ca="1" si="56"/>
        <v>0</v>
      </c>
      <c r="AW43" t="b">
        <f t="shared" ca="1" si="57"/>
        <v>0</v>
      </c>
      <c r="AX43" t="b">
        <f t="shared" si="58"/>
        <v>0</v>
      </c>
      <c r="AY43" t="b">
        <f t="shared" si="59"/>
        <v>0</v>
      </c>
      <c r="AZ43" t="b">
        <f t="shared" si="60"/>
        <v>0</v>
      </c>
      <c r="BA43" t="b">
        <f>IF(AND(設定!$B$2&lt;=T43,T43&lt;=設定!$B$3),FALSE,AK43)</f>
        <v>0</v>
      </c>
      <c r="BC43">
        <f t="shared" ca="1" si="4"/>
        <v>0</v>
      </c>
      <c r="BD43">
        <f t="shared" si="28"/>
        <v>38</v>
      </c>
      <c r="BE43" t="str">
        <f t="shared" si="29"/>
        <v/>
      </c>
      <c r="BF43">
        <f>IF(BG43&lt;&gt;"",MAX($BF$6:BF42)+1,0)</f>
        <v>0</v>
      </c>
      <c r="BG43" t="str">
        <f>IF(BE43&lt;&gt;"",IF(COUNTIF($BE$6:BE42,BE43)&gt;0,"",BE43),"")</f>
        <v/>
      </c>
      <c r="BH43" t="str">
        <f t="shared" si="30"/>
        <v/>
      </c>
      <c r="BI43">
        <f>IF(BJ43&lt;&gt;"",MAX($BI$6:BI42)+1,0)</f>
        <v>0</v>
      </c>
      <c r="BJ43" t="str">
        <f>IF(BH43&lt;&gt;"",IF(COUNTIF($BE$6:BH42,BH43)&gt;0,"",BH43),"")</f>
        <v/>
      </c>
    </row>
    <row r="44" spans="1:62" ht="16.5" customHeight="1">
      <c r="A44" t="str">
        <f t="shared" si="5"/>
        <v/>
      </c>
      <c r="B44" t="str">
        <f t="shared" si="38"/>
        <v/>
      </c>
      <c r="C44">
        <f t="shared" ca="1" si="61"/>
        <v>0</v>
      </c>
      <c r="D44" t="str">
        <f t="shared" si="7"/>
        <v/>
      </c>
      <c r="E44">
        <f>IF(B44="",0,LARGE($E$5:E43,1)+1)</f>
        <v>0</v>
      </c>
      <c r="F44" s="44"/>
      <c r="G44" s="45"/>
      <c r="H44" s="7" t="str">
        <f>IF(AND(F44="",G44=""),"",VLOOKUP(学校情報!$B$5&amp;F44&amp;G44,選手データ!$A:$H,4,FALSE))</f>
        <v/>
      </c>
      <c r="I44" s="7" t="str">
        <f>IF(AND(F44="",G44=""),"",VLOOKUP(学校情報!$B$5&amp;F44&amp;G44,選手データ!$A:$H,5,FALSE))</f>
        <v/>
      </c>
      <c r="J44" s="8" t="str">
        <f>IF(AND(F44="",G44=""),"",VLOOKUP(学校情報!$B$5&amp;F44&amp;G44,選手データ!$A:$H,6,FALSE))</f>
        <v/>
      </c>
      <c r="K44" s="32" t="str">
        <f>IF(AND(F44="",G44=""),"",VLOOKUP(学校情報!$B$5&amp;F44&amp;G44,選手データ!$A:$H,8,FALSE))</f>
        <v/>
      </c>
      <c r="L44" s="7" t="str">
        <f>IF(AND(F44="",G44=""),"",VLOOKUP(学校情報!$B$5&amp;F44&amp;G44,選手データ!$A:$I,9,FALSE))</f>
        <v/>
      </c>
      <c r="M44" s="44"/>
      <c r="N44" s="46"/>
      <c r="O44" s="47"/>
      <c r="P44" s="7" t="str">
        <f t="shared" ca="1" si="39"/>
        <v/>
      </c>
      <c r="Q44" s="46"/>
      <c r="R44" s="48"/>
      <c r="S44" s="45"/>
      <c r="T44" s="49"/>
      <c r="U44" s="8" t="str">
        <f t="shared" ca="1" si="40"/>
        <v/>
      </c>
      <c r="V44" s="8" t="str">
        <f t="shared" si="41"/>
        <v/>
      </c>
      <c r="W44" s="4">
        <f t="shared" si="42"/>
        <v>0</v>
      </c>
      <c r="X44" t="b">
        <f ca="1">IF(M44="",FALSE,VLOOKUP(M44,OFFSET(設定!$D$2:$I$25,0,AA44),2,FALSE))</f>
        <v>0</v>
      </c>
      <c r="Y44" t="str">
        <f ca="1">IF(M44="","",VLOOKUP(M44,OFFSET(設定!$D$2:$I$25,0,AA44),3,FALSE))</f>
        <v/>
      </c>
      <c r="Z44" t="b">
        <f ca="1">IF(M44="",FALSE,VLOOKUP(M44,OFFSET(設定!$D$2:$I$25,0,AA44),4,FALSE))</f>
        <v>0</v>
      </c>
      <c r="AA44">
        <f t="shared" si="9"/>
        <v>7</v>
      </c>
      <c r="AB44" s="1" t="str">
        <f ca="1">IF(M44="","",IF(AND(Z44,N44="〇"),IF(VLOOKUP(M44,OFFSET(設定!$D$2:$I$25,0,AA44),5,FALSE)="-","-",LEFT(VLOOKUP(M44,OFFSET(設定!$D$2:$I$25,0,AA44),5,FALSE),INT(LEN(VLOOKUP(M44,OFFSET(設定!$D$2:$I$25,0,AA44),5,FALSE))-1))),IF(VLOOKUP(M44,OFFSET(設定!$D$2:$I$25,0,AA44),5,FALSE)="-","-",INT(VLOOKUP(M44,OFFSET(設定!$D$2:$I$25,0,AA44),5,FALSE)))))</f>
        <v/>
      </c>
      <c r="AC44" s="1" t="str">
        <f ca="1">IF(M44="","",IF(AND(Z44,N44="〇"),IF(VLOOKUP(M44,OFFSET(設定!$D$2:$I$25,0,AA44),6,FALSE)="-","-",LEFT(VLOOKUP(M44,OFFSET(設定!$D$2:$I$25,0,AA44),6,FALSE),INT(LEN(VLOOKUP(M44,OFFSET(設定!$D$2:$I$25,0,AA44),6,FALSE))-1))),IF(VLOOKUP(M44,OFFSET(設定!$D$2:$I$25,0,AA44),6,FALSE)="-","-",INT(VLOOKUP(M44,OFFSET(設定!$D$2:$I$25,0,AA44),6,FALSE)))))</f>
        <v/>
      </c>
      <c r="AD44">
        <f t="shared" si="10"/>
        <v>2</v>
      </c>
      <c r="AE44" t="str">
        <f t="shared" ca="1" si="43"/>
        <v/>
      </c>
      <c r="AF44" t="str">
        <f t="shared" ca="1" si="44"/>
        <v/>
      </c>
      <c r="AG44" t="str">
        <f t="shared" ca="1" si="45"/>
        <v/>
      </c>
      <c r="AH44" t="b">
        <f t="shared" ca="1" si="46"/>
        <v>1</v>
      </c>
      <c r="AI44" t="b">
        <f t="shared" ca="1" si="47"/>
        <v>0</v>
      </c>
      <c r="AJ44" t="b">
        <f t="shared" ca="1" si="48"/>
        <v>0</v>
      </c>
      <c r="AK44" t="b">
        <f t="shared" si="49"/>
        <v>0</v>
      </c>
      <c r="AL44" t="b">
        <f t="shared" si="50"/>
        <v>0</v>
      </c>
      <c r="AM44" t="b">
        <f t="shared" si="51"/>
        <v>0</v>
      </c>
      <c r="AN44" t="b">
        <f t="shared" si="37"/>
        <v>0</v>
      </c>
      <c r="AO44" t="b">
        <f>IF(COUNTIF($D$6:D43,F44&amp;G44&amp;W44)&gt;0,AK44,FALSE)</f>
        <v>0</v>
      </c>
      <c r="AP44" t="b">
        <f t="shared" ca="1" si="19"/>
        <v>0</v>
      </c>
      <c r="AQ44" t="b">
        <f t="shared" si="52"/>
        <v>0</v>
      </c>
      <c r="AR44" t="b">
        <f t="shared" si="53"/>
        <v>0</v>
      </c>
      <c r="AS44" t="b">
        <f t="shared" ca="1" si="54"/>
        <v>0</v>
      </c>
      <c r="AT44" t="b">
        <f t="shared" ca="1" si="55"/>
        <v>0</v>
      </c>
      <c r="AU44" t="b">
        <f ca="1">IF(COUNTIF(設定!$B$6:$B$11,SUMIF($B$6:B43,G44&amp;W44,$C$6:C43)+IF(AI44,10,IF(AJ44,1,0)))=1,FALSE,AK44)</f>
        <v>0</v>
      </c>
      <c r="AV44" t="b">
        <f t="shared" ca="1" si="56"/>
        <v>0</v>
      </c>
      <c r="AW44" t="b">
        <f t="shared" ca="1" si="57"/>
        <v>0</v>
      </c>
      <c r="AX44" t="b">
        <f t="shared" si="58"/>
        <v>0</v>
      </c>
      <c r="AY44" t="b">
        <f t="shared" si="59"/>
        <v>0</v>
      </c>
      <c r="AZ44" t="b">
        <f t="shared" si="60"/>
        <v>0</v>
      </c>
      <c r="BA44" t="b">
        <f>IF(AND(設定!$B$2&lt;=T44,T44&lt;=設定!$B$3),FALSE,AK44)</f>
        <v>0</v>
      </c>
      <c r="BC44">
        <f t="shared" ca="1" si="4"/>
        <v>0</v>
      </c>
      <c r="BD44">
        <f t="shared" si="28"/>
        <v>39</v>
      </c>
      <c r="BE44" t="str">
        <f t="shared" si="29"/>
        <v/>
      </c>
      <c r="BF44">
        <f>IF(BG44&lt;&gt;"",MAX($BF$6:BF43)+1,0)</f>
        <v>0</v>
      </c>
      <c r="BG44" t="str">
        <f>IF(BE44&lt;&gt;"",IF(COUNTIF($BE$6:BE43,BE44)&gt;0,"",BE44),"")</f>
        <v/>
      </c>
      <c r="BH44" t="str">
        <f t="shared" si="30"/>
        <v/>
      </c>
      <c r="BI44">
        <f>IF(BJ44&lt;&gt;"",MAX($BI$6:BI43)+1,0)</f>
        <v>0</v>
      </c>
      <c r="BJ44" t="str">
        <f>IF(BH44&lt;&gt;"",IF(COUNTIF($BE$6:BH43,BH44)&gt;0,"",BH44),"")</f>
        <v/>
      </c>
    </row>
    <row r="45" spans="1:62" ht="16.5" customHeight="1">
      <c r="A45" t="str">
        <f t="shared" si="5"/>
        <v/>
      </c>
      <c r="B45" t="str">
        <f t="shared" si="38"/>
        <v/>
      </c>
      <c r="C45">
        <f t="shared" ca="1" si="61"/>
        <v>0</v>
      </c>
      <c r="D45" t="str">
        <f t="shared" si="7"/>
        <v/>
      </c>
      <c r="E45">
        <f>IF(B45="",0,LARGE($E$5:E44,1)+1)</f>
        <v>0</v>
      </c>
      <c r="F45" s="44"/>
      <c r="G45" s="45"/>
      <c r="H45" s="7" t="str">
        <f>IF(AND(F45="",G45=""),"",VLOOKUP(学校情報!$B$5&amp;F45&amp;G45,選手データ!$A:$H,4,FALSE))</f>
        <v/>
      </c>
      <c r="I45" s="7" t="str">
        <f>IF(AND(F45="",G45=""),"",VLOOKUP(学校情報!$B$5&amp;F45&amp;G45,選手データ!$A:$H,5,FALSE))</f>
        <v/>
      </c>
      <c r="J45" s="8" t="str">
        <f>IF(AND(F45="",G45=""),"",VLOOKUP(学校情報!$B$5&amp;F45&amp;G45,選手データ!$A:$H,6,FALSE))</f>
        <v/>
      </c>
      <c r="K45" s="32" t="str">
        <f>IF(AND(F45="",G45=""),"",VLOOKUP(学校情報!$B$5&amp;F45&amp;G45,選手データ!$A:$H,8,FALSE))</f>
        <v/>
      </c>
      <c r="L45" s="7" t="str">
        <f>IF(AND(F45="",G45=""),"",VLOOKUP(学校情報!$B$5&amp;F45&amp;G45,選手データ!$A:$I,9,FALSE))</f>
        <v/>
      </c>
      <c r="M45" s="44"/>
      <c r="N45" s="46"/>
      <c r="O45" s="47"/>
      <c r="P45" s="7" t="str">
        <f t="shared" ca="1" si="39"/>
        <v/>
      </c>
      <c r="Q45" s="46"/>
      <c r="R45" s="48"/>
      <c r="S45" s="45"/>
      <c r="T45" s="49"/>
      <c r="U45" s="8" t="str">
        <f t="shared" ca="1" si="40"/>
        <v/>
      </c>
      <c r="V45" s="8" t="str">
        <f t="shared" si="41"/>
        <v/>
      </c>
      <c r="W45" s="4">
        <f t="shared" si="42"/>
        <v>0</v>
      </c>
      <c r="X45" t="b">
        <f ca="1">IF(M45="",FALSE,VLOOKUP(M45,OFFSET(設定!$D$2:$I$25,0,AA45),2,FALSE))</f>
        <v>0</v>
      </c>
      <c r="Y45" t="str">
        <f ca="1">IF(M45="","",VLOOKUP(M45,OFFSET(設定!$D$2:$I$25,0,AA45),3,FALSE))</f>
        <v/>
      </c>
      <c r="Z45" t="b">
        <f ca="1">IF(M45="",FALSE,VLOOKUP(M45,OFFSET(設定!$D$2:$I$25,0,AA45),4,FALSE))</f>
        <v>0</v>
      </c>
      <c r="AA45">
        <f t="shared" si="9"/>
        <v>7</v>
      </c>
      <c r="AB45" s="1" t="str">
        <f ca="1">IF(M45="","",IF(AND(Z45,N45="〇"),IF(VLOOKUP(M45,OFFSET(設定!$D$2:$I$25,0,AA45),5,FALSE)="-","-",LEFT(VLOOKUP(M45,OFFSET(設定!$D$2:$I$25,0,AA45),5,FALSE),INT(LEN(VLOOKUP(M45,OFFSET(設定!$D$2:$I$25,0,AA45),5,FALSE))-1))),IF(VLOOKUP(M45,OFFSET(設定!$D$2:$I$25,0,AA45),5,FALSE)="-","-",INT(VLOOKUP(M45,OFFSET(設定!$D$2:$I$25,0,AA45),5,FALSE)))))</f>
        <v/>
      </c>
      <c r="AC45" s="1" t="str">
        <f ca="1">IF(M45="","",IF(AND(Z45,N45="〇"),IF(VLOOKUP(M45,OFFSET(設定!$D$2:$I$25,0,AA45),6,FALSE)="-","-",LEFT(VLOOKUP(M45,OFFSET(設定!$D$2:$I$25,0,AA45),6,FALSE),INT(LEN(VLOOKUP(M45,OFFSET(設定!$D$2:$I$25,0,AA45),6,FALSE))-1))),IF(VLOOKUP(M45,OFFSET(設定!$D$2:$I$25,0,AA45),6,FALSE)="-","-",INT(VLOOKUP(M45,OFFSET(設定!$D$2:$I$25,0,AA45),6,FALSE)))))</f>
        <v/>
      </c>
      <c r="AD45">
        <f t="shared" si="10"/>
        <v>2</v>
      </c>
      <c r="AE45" t="str">
        <f t="shared" ca="1" si="43"/>
        <v/>
      </c>
      <c r="AF45" t="str">
        <f t="shared" ca="1" si="44"/>
        <v/>
      </c>
      <c r="AG45" t="str">
        <f t="shared" ca="1" si="45"/>
        <v/>
      </c>
      <c r="AH45" t="b">
        <f t="shared" ca="1" si="46"/>
        <v>1</v>
      </c>
      <c r="AI45" t="b">
        <f t="shared" ca="1" si="47"/>
        <v>0</v>
      </c>
      <c r="AJ45" t="b">
        <f t="shared" ca="1" si="48"/>
        <v>0</v>
      </c>
      <c r="AK45" t="b">
        <f t="shared" si="49"/>
        <v>0</v>
      </c>
      <c r="AL45" t="b">
        <f t="shared" si="50"/>
        <v>0</v>
      </c>
      <c r="AM45" t="b">
        <f t="shared" si="51"/>
        <v>0</v>
      </c>
      <c r="AN45" t="b">
        <f t="shared" si="37"/>
        <v>0</v>
      </c>
      <c r="AO45" t="b">
        <f>IF(COUNTIF($D$6:D44,F45&amp;G45&amp;W45)&gt;0,AK45,FALSE)</f>
        <v>0</v>
      </c>
      <c r="AP45" t="b">
        <f t="shared" ca="1" si="19"/>
        <v>0</v>
      </c>
      <c r="AQ45" t="b">
        <f t="shared" si="52"/>
        <v>0</v>
      </c>
      <c r="AR45" t="b">
        <f t="shared" si="53"/>
        <v>0</v>
      </c>
      <c r="AS45" t="b">
        <f t="shared" ca="1" si="54"/>
        <v>0</v>
      </c>
      <c r="AT45" t="b">
        <f t="shared" ca="1" si="55"/>
        <v>0</v>
      </c>
      <c r="AU45" t="b">
        <f ca="1">IF(COUNTIF(設定!$B$6:$B$11,SUMIF($B$6:B44,G45&amp;W45,$C$6:C44)+IF(AI45,10,IF(AJ45,1,0)))=1,FALSE,AK45)</f>
        <v>0</v>
      </c>
      <c r="AV45" t="b">
        <f t="shared" ca="1" si="56"/>
        <v>0</v>
      </c>
      <c r="AW45" t="b">
        <f t="shared" ca="1" si="57"/>
        <v>0</v>
      </c>
      <c r="AX45" t="b">
        <f t="shared" si="58"/>
        <v>0</v>
      </c>
      <c r="AY45" t="b">
        <f t="shared" si="59"/>
        <v>0</v>
      </c>
      <c r="AZ45" t="b">
        <f t="shared" si="60"/>
        <v>0</v>
      </c>
      <c r="BA45" t="b">
        <f>IF(AND(設定!$B$2&lt;=T45,T45&lt;=設定!$B$3),FALSE,AK45)</f>
        <v>0</v>
      </c>
      <c r="BC45">
        <f t="shared" ca="1" si="4"/>
        <v>0</v>
      </c>
      <c r="BD45">
        <f t="shared" si="28"/>
        <v>40</v>
      </c>
      <c r="BE45" t="str">
        <f t="shared" si="29"/>
        <v/>
      </c>
      <c r="BF45">
        <f>IF(BG45&lt;&gt;"",MAX($BF$6:BF44)+1,0)</f>
        <v>0</v>
      </c>
      <c r="BG45" t="str">
        <f>IF(BE45&lt;&gt;"",IF(COUNTIF($BE$6:BE44,BE45)&gt;0,"",BE45),"")</f>
        <v/>
      </c>
      <c r="BH45" t="str">
        <f t="shared" si="30"/>
        <v/>
      </c>
      <c r="BI45">
        <f>IF(BJ45&lt;&gt;"",MAX($BI$6:BI44)+1,0)</f>
        <v>0</v>
      </c>
      <c r="BJ45" t="str">
        <f>IF(BH45&lt;&gt;"",IF(COUNTIF($BE$6:BH44,BH45)&gt;0,"",BH45),"")</f>
        <v/>
      </c>
    </row>
    <row r="46" spans="1:62" ht="16.5" customHeight="1">
      <c r="A46" t="str">
        <f t="shared" si="5"/>
        <v/>
      </c>
      <c r="B46" t="str">
        <f t="shared" si="38"/>
        <v/>
      </c>
      <c r="C46">
        <f t="shared" ca="1" si="61"/>
        <v>0</v>
      </c>
      <c r="D46" t="str">
        <f t="shared" si="7"/>
        <v/>
      </c>
      <c r="E46">
        <f>IF(B46="",0,LARGE($E$5:E45,1)+1)</f>
        <v>0</v>
      </c>
      <c r="F46" s="44"/>
      <c r="G46" s="45"/>
      <c r="H46" s="7" t="str">
        <f>IF(AND(F46="",G46=""),"",VLOOKUP(学校情報!$B$5&amp;F46&amp;G46,選手データ!$A:$H,4,FALSE))</f>
        <v/>
      </c>
      <c r="I46" s="7" t="str">
        <f>IF(AND(F46="",G46=""),"",VLOOKUP(学校情報!$B$5&amp;F46&amp;G46,選手データ!$A:$H,5,FALSE))</f>
        <v/>
      </c>
      <c r="J46" s="8" t="str">
        <f>IF(AND(F46="",G46=""),"",VLOOKUP(学校情報!$B$5&amp;F46&amp;G46,選手データ!$A:$H,6,FALSE))</f>
        <v/>
      </c>
      <c r="K46" s="32" t="str">
        <f>IF(AND(F46="",G46=""),"",VLOOKUP(学校情報!$B$5&amp;F46&amp;G46,選手データ!$A:$H,8,FALSE))</f>
        <v/>
      </c>
      <c r="L46" s="7" t="str">
        <f>IF(AND(F46="",G46=""),"",VLOOKUP(学校情報!$B$5&amp;F46&amp;G46,選手データ!$A:$I,9,FALSE))</f>
        <v/>
      </c>
      <c r="M46" s="44"/>
      <c r="N46" s="46"/>
      <c r="O46" s="47"/>
      <c r="P46" s="7" t="str">
        <f t="shared" ca="1" si="39"/>
        <v/>
      </c>
      <c r="Q46" s="46"/>
      <c r="R46" s="48"/>
      <c r="S46" s="45"/>
      <c r="T46" s="49"/>
      <c r="U46" s="8" t="str">
        <f t="shared" ca="1" si="40"/>
        <v/>
      </c>
      <c r="V46" s="8" t="str">
        <f t="shared" si="41"/>
        <v/>
      </c>
      <c r="W46" s="4">
        <f t="shared" si="42"/>
        <v>0</v>
      </c>
      <c r="X46" t="b">
        <f ca="1">IF(M46="",FALSE,VLOOKUP(M46,OFFSET(設定!$D$2:$I$25,0,AA46),2,FALSE))</f>
        <v>0</v>
      </c>
      <c r="Y46" t="str">
        <f ca="1">IF(M46="","",VLOOKUP(M46,OFFSET(設定!$D$2:$I$25,0,AA46),3,FALSE))</f>
        <v/>
      </c>
      <c r="Z46" t="b">
        <f ca="1">IF(M46="",FALSE,VLOOKUP(M46,OFFSET(設定!$D$2:$I$25,0,AA46),4,FALSE))</f>
        <v>0</v>
      </c>
      <c r="AA46">
        <f t="shared" si="9"/>
        <v>7</v>
      </c>
      <c r="AB46" s="1" t="str">
        <f ca="1">IF(M46="","",IF(AND(Z46,N46="〇"),IF(VLOOKUP(M46,OFFSET(設定!$D$2:$I$25,0,AA46),5,FALSE)="-","-",LEFT(VLOOKUP(M46,OFFSET(設定!$D$2:$I$25,0,AA46),5,FALSE),INT(LEN(VLOOKUP(M46,OFFSET(設定!$D$2:$I$25,0,AA46),5,FALSE))-1))),IF(VLOOKUP(M46,OFFSET(設定!$D$2:$I$25,0,AA46),5,FALSE)="-","-",INT(VLOOKUP(M46,OFFSET(設定!$D$2:$I$25,0,AA46),5,FALSE)))))</f>
        <v/>
      </c>
      <c r="AC46" s="1" t="str">
        <f ca="1">IF(M46="","",IF(AND(Z46,N46="〇"),IF(VLOOKUP(M46,OFFSET(設定!$D$2:$I$25,0,AA46),6,FALSE)="-","-",LEFT(VLOOKUP(M46,OFFSET(設定!$D$2:$I$25,0,AA46),6,FALSE),INT(LEN(VLOOKUP(M46,OFFSET(設定!$D$2:$I$25,0,AA46),6,FALSE))-1))),IF(VLOOKUP(M46,OFFSET(設定!$D$2:$I$25,0,AA46),6,FALSE)="-","-",INT(VLOOKUP(M46,OFFSET(設定!$D$2:$I$25,0,AA46),6,FALSE)))))</f>
        <v/>
      </c>
      <c r="AD46">
        <f t="shared" si="10"/>
        <v>2</v>
      </c>
      <c r="AE46" t="str">
        <f t="shared" ca="1" si="43"/>
        <v/>
      </c>
      <c r="AF46" t="str">
        <f t="shared" ca="1" si="44"/>
        <v/>
      </c>
      <c r="AG46" t="str">
        <f t="shared" ca="1" si="45"/>
        <v/>
      </c>
      <c r="AH46" t="b">
        <f t="shared" ca="1" si="46"/>
        <v>1</v>
      </c>
      <c r="AI46" t="b">
        <f t="shared" ca="1" si="47"/>
        <v>0</v>
      </c>
      <c r="AJ46" t="b">
        <f t="shared" ca="1" si="48"/>
        <v>0</v>
      </c>
      <c r="AK46" t="b">
        <f t="shared" si="49"/>
        <v>0</v>
      </c>
      <c r="AL46" t="b">
        <f t="shared" si="50"/>
        <v>0</v>
      </c>
      <c r="AM46" t="b">
        <f t="shared" si="51"/>
        <v>0</v>
      </c>
      <c r="AN46" t="b">
        <f t="shared" si="37"/>
        <v>0</v>
      </c>
      <c r="AO46" t="b">
        <f>IF(COUNTIF($D$6:D45,F46&amp;G46&amp;W46)&gt;0,AK46,FALSE)</f>
        <v>0</v>
      </c>
      <c r="AP46" t="b">
        <f t="shared" ca="1" si="19"/>
        <v>0</v>
      </c>
      <c r="AQ46" t="b">
        <f t="shared" si="52"/>
        <v>0</v>
      </c>
      <c r="AR46" t="b">
        <f t="shared" si="53"/>
        <v>0</v>
      </c>
      <c r="AS46" t="b">
        <f t="shared" ca="1" si="54"/>
        <v>0</v>
      </c>
      <c r="AT46" t="b">
        <f t="shared" ca="1" si="55"/>
        <v>0</v>
      </c>
      <c r="AU46" t="b">
        <f ca="1">IF(COUNTIF(設定!$B$6:$B$11,SUMIF($B$6:B45,G46&amp;W46,$C$6:C45)+IF(AI46,10,IF(AJ46,1,0)))=1,FALSE,AK46)</f>
        <v>0</v>
      </c>
      <c r="AV46" t="b">
        <f t="shared" ca="1" si="56"/>
        <v>0</v>
      </c>
      <c r="AW46" t="b">
        <f t="shared" ca="1" si="57"/>
        <v>0</v>
      </c>
      <c r="AX46" t="b">
        <f t="shared" si="58"/>
        <v>0</v>
      </c>
      <c r="AY46" t="b">
        <f t="shared" si="59"/>
        <v>0</v>
      </c>
      <c r="AZ46" t="b">
        <f t="shared" si="60"/>
        <v>0</v>
      </c>
      <c r="BA46" t="b">
        <f>IF(AND(設定!$B$2&lt;=T46,T46&lt;=設定!$B$3),FALSE,AK46)</f>
        <v>0</v>
      </c>
      <c r="BC46">
        <f t="shared" ca="1" si="4"/>
        <v>0</v>
      </c>
      <c r="BD46">
        <f t="shared" si="28"/>
        <v>41</v>
      </c>
      <c r="BE46" t="str">
        <f t="shared" si="29"/>
        <v/>
      </c>
      <c r="BF46">
        <f>IF(BG46&lt;&gt;"",MAX($BF$6:BF45)+1,0)</f>
        <v>0</v>
      </c>
      <c r="BG46" t="str">
        <f>IF(BE46&lt;&gt;"",IF(COUNTIF($BE$6:BE45,BE46)&gt;0,"",BE46),"")</f>
        <v/>
      </c>
      <c r="BH46" t="str">
        <f t="shared" si="30"/>
        <v/>
      </c>
      <c r="BI46">
        <f>IF(BJ46&lt;&gt;"",MAX($BI$6:BI45)+1,0)</f>
        <v>0</v>
      </c>
      <c r="BJ46" t="str">
        <f>IF(BH46&lt;&gt;"",IF(COUNTIF($BE$6:BH45,BH46)&gt;0,"",BH46),"")</f>
        <v/>
      </c>
    </row>
    <row r="47" spans="1:62" ht="16.5" customHeight="1">
      <c r="A47" t="str">
        <f t="shared" si="5"/>
        <v/>
      </c>
      <c r="B47" t="str">
        <f t="shared" si="38"/>
        <v/>
      </c>
      <c r="C47">
        <f t="shared" ca="1" si="61"/>
        <v>0</v>
      </c>
      <c r="D47" t="str">
        <f t="shared" si="7"/>
        <v/>
      </c>
      <c r="E47">
        <f>IF(B47="",0,LARGE($E$5:E46,1)+1)</f>
        <v>0</v>
      </c>
      <c r="F47" s="44"/>
      <c r="G47" s="45"/>
      <c r="H47" s="7" t="str">
        <f>IF(AND(F47="",G47=""),"",VLOOKUP(学校情報!$B$5&amp;F47&amp;G47,選手データ!$A:$H,4,FALSE))</f>
        <v/>
      </c>
      <c r="I47" s="7" t="str">
        <f>IF(AND(F47="",G47=""),"",VLOOKUP(学校情報!$B$5&amp;F47&amp;G47,選手データ!$A:$H,5,FALSE))</f>
        <v/>
      </c>
      <c r="J47" s="8" t="str">
        <f>IF(AND(F47="",G47=""),"",VLOOKUP(学校情報!$B$5&amp;F47&amp;G47,選手データ!$A:$H,6,FALSE))</f>
        <v/>
      </c>
      <c r="K47" s="32" t="str">
        <f>IF(AND(F47="",G47=""),"",VLOOKUP(学校情報!$B$5&amp;F47&amp;G47,選手データ!$A:$H,8,FALSE))</f>
        <v/>
      </c>
      <c r="L47" s="7" t="str">
        <f>IF(AND(F47="",G47=""),"",VLOOKUP(学校情報!$B$5&amp;F47&amp;G47,選手データ!$A:$I,9,FALSE))</f>
        <v/>
      </c>
      <c r="M47" s="44"/>
      <c r="N47" s="46"/>
      <c r="O47" s="47"/>
      <c r="P47" s="7" t="str">
        <f t="shared" ca="1" si="39"/>
        <v/>
      </c>
      <c r="Q47" s="46"/>
      <c r="R47" s="48"/>
      <c r="S47" s="45"/>
      <c r="T47" s="49"/>
      <c r="U47" s="8" t="str">
        <f t="shared" ca="1" si="40"/>
        <v/>
      </c>
      <c r="V47" s="8" t="str">
        <f t="shared" si="41"/>
        <v/>
      </c>
      <c r="W47" s="4">
        <f t="shared" si="42"/>
        <v>0</v>
      </c>
      <c r="X47" t="b">
        <f ca="1">IF(M47="",FALSE,VLOOKUP(M47,OFFSET(設定!$D$2:$I$25,0,AA47),2,FALSE))</f>
        <v>0</v>
      </c>
      <c r="Y47" t="str">
        <f ca="1">IF(M47="","",VLOOKUP(M47,OFFSET(設定!$D$2:$I$25,0,AA47),3,FALSE))</f>
        <v/>
      </c>
      <c r="Z47" t="b">
        <f ca="1">IF(M47="",FALSE,VLOOKUP(M47,OFFSET(設定!$D$2:$I$25,0,AA47),4,FALSE))</f>
        <v>0</v>
      </c>
      <c r="AA47">
        <f t="shared" si="9"/>
        <v>7</v>
      </c>
      <c r="AB47" s="1" t="str">
        <f ca="1">IF(M47="","",IF(AND(Z47,N47="〇"),IF(VLOOKUP(M47,OFFSET(設定!$D$2:$I$25,0,AA47),5,FALSE)="-","-",LEFT(VLOOKUP(M47,OFFSET(設定!$D$2:$I$25,0,AA47),5,FALSE),INT(LEN(VLOOKUP(M47,OFFSET(設定!$D$2:$I$25,0,AA47),5,FALSE))-1))),IF(VLOOKUP(M47,OFFSET(設定!$D$2:$I$25,0,AA47),5,FALSE)="-","-",INT(VLOOKUP(M47,OFFSET(設定!$D$2:$I$25,0,AA47),5,FALSE)))))</f>
        <v/>
      </c>
      <c r="AC47" s="1" t="str">
        <f ca="1">IF(M47="","",IF(AND(Z47,N47="〇"),IF(VLOOKUP(M47,OFFSET(設定!$D$2:$I$25,0,AA47),6,FALSE)="-","-",LEFT(VLOOKUP(M47,OFFSET(設定!$D$2:$I$25,0,AA47),6,FALSE),INT(LEN(VLOOKUP(M47,OFFSET(設定!$D$2:$I$25,0,AA47),6,FALSE))-1))),IF(VLOOKUP(M47,OFFSET(設定!$D$2:$I$25,0,AA47),6,FALSE)="-","-",INT(VLOOKUP(M47,OFFSET(設定!$D$2:$I$25,0,AA47),6,FALSE)))))</f>
        <v/>
      </c>
      <c r="AD47">
        <f t="shared" si="10"/>
        <v>2</v>
      </c>
      <c r="AE47" t="str">
        <f t="shared" ca="1" si="43"/>
        <v/>
      </c>
      <c r="AF47" t="str">
        <f t="shared" ca="1" si="44"/>
        <v/>
      </c>
      <c r="AG47" t="str">
        <f t="shared" ca="1" si="45"/>
        <v/>
      </c>
      <c r="AH47" t="b">
        <f t="shared" ca="1" si="46"/>
        <v>1</v>
      </c>
      <c r="AI47" t="b">
        <f t="shared" ca="1" si="47"/>
        <v>0</v>
      </c>
      <c r="AJ47" t="b">
        <f t="shared" ca="1" si="48"/>
        <v>0</v>
      </c>
      <c r="AK47" t="b">
        <f t="shared" si="49"/>
        <v>0</v>
      </c>
      <c r="AL47" t="b">
        <f t="shared" si="50"/>
        <v>0</v>
      </c>
      <c r="AM47" t="b">
        <f t="shared" si="51"/>
        <v>0</v>
      </c>
      <c r="AN47" t="b">
        <f t="shared" si="37"/>
        <v>0</v>
      </c>
      <c r="AO47" t="b">
        <f>IF(COUNTIF($D$6:D46,F47&amp;G47&amp;W47)&gt;0,AK47,FALSE)</f>
        <v>0</v>
      </c>
      <c r="AP47" t="b">
        <f t="shared" ca="1" si="19"/>
        <v>0</v>
      </c>
      <c r="AQ47" t="b">
        <f t="shared" si="52"/>
        <v>0</v>
      </c>
      <c r="AR47" t="b">
        <f t="shared" si="53"/>
        <v>0</v>
      </c>
      <c r="AS47" t="b">
        <f t="shared" ca="1" si="54"/>
        <v>0</v>
      </c>
      <c r="AT47" t="b">
        <f t="shared" ca="1" si="55"/>
        <v>0</v>
      </c>
      <c r="AU47" t="b">
        <f ca="1">IF(COUNTIF(設定!$B$6:$B$11,SUMIF($B$6:B46,G47&amp;W47,$C$6:C46)+IF(AI47,10,IF(AJ47,1,0)))=1,FALSE,AK47)</f>
        <v>0</v>
      </c>
      <c r="AV47" t="b">
        <f t="shared" ca="1" si="56"/>
        <v>0</v>
      </c>
      <c r="AW47" t="b">
        <f t="shared" ca="1" si="57"/>
        <v>0</v>
      </c>
      <c r="AX47" t="b">
        <f t="shared" si="58"/>
        <v>0</v>
      </c>
      <c r="AY47" t="b">
        <f t="shared" si="59"/>
        <v>0</v>
      </c>
      <c r="AZ47" t="b">
        <f t="shared" si="60"/>
        <v>0</v>
      </c>
      <c r="BA47" t="b">
        <f>IF(AND(設定!$B$2&lt;=T47,T47&lt;=設定!$B$3),FALSE,AK47)</f>
        <v>0</v>
      </c>
      <c r="BC47">
        <f t="shared" ca="1" si="4"/>
        <v>0</v>
      </c>
      <c r="BD47">
        <f t="shared" si="28"/>
        <v>42</v>
      </c>
      <c r="BE47" t="str">
        <f t="shared" si="29"/>
        <v/>
      </c>
      <c r="BF47">
        <f>IF(BG47&lt;&gt;"",MAX($BF$6:BF46)+1,0)</f>
        <v>0</v>
      </c>
      <c r="BG47" t="str">
        <f>IF(BE47&lt;&gt;"",IF(COUNTIF($BE$6:BE46,BE47)&gt;0,"",BE47),"")</f>
        <v/>
      </c>
      <c r="BH47" t="str">
        <f t="shared" si="30"/>
        <v/>
      </c>
      <c r="BI47">
        <f>IF(BJ47&lt;&gt;"",MAX($BI$6:BI46)+1,0)</f>
        <v>0</v>
      </c>
      <c r="BJ47" t="str">
        <f>IF(BH47&lt;&gt;"",IF(COUNTIF($BE$6:BH46,BH47)&gt;0,"",BH47),"")</f>
        <v/>
      </c>
    </row>
    <row r="48" spans="1:62" ht="16.5" customHeight="1">
      <c r="A48" t="str">
        <f t="shared" si="5"/>
        <v/>
      </c>
      <c r="B48" t="str">
        <f t="shared" si="38"/>
        <v/>
      </c>
      <c r="C48">
        <f t="shared" ca="1" si="61"/>
        <v>0</v>
      </c>
      <c r="D48" t="str">
        <f t="shared" si="7"/>
        <v/>
      </c>
      <c r="E48">
        <f>IF(B48="",0,LARGE($E$5:E47,1)+1)</f>
        <v>0</v>
      </c>
      <c r="F48" s="44"/>
      <c r="G48" s="45"/>
      <c r="H48" s="7" t="str">
        <f>IF(AND(F48="",G48=""),"",VLOOKUP(学校情報!$B$5&amp;F48&amp;G48,選手データ!$A:$H,4,FALSE))</f>
        <v/>
      </c>
      <c r="I48" s="7" t="str">
        <f>IF(AND(F48="",G48=""),"",VLOOKUP(学校情報!$B$5&amp;F48&amp;G48,選手データ!$A:$H,5,FALSE))</f>
        <v/>
      </c>
      <c r="J48" s="8" t="str">
        <f>IF(AND(F48="",G48=""),"",VLOOKUP(学校情報!$B$5&amp;F48&amp;G48,選手データ!$A:$H,6,FALSE))</f>
        <v/>
      </c>
      <c r="K48" s="32" t="str">
        <f>IF(AND(F48="",G48=""),"",VLOOKUP(学校情報!$B$5&amp;F48&amp;G48,選手データ!$A:$H,8,FALSE))</f>
        <v/>
      </c>
      <c r="L48" s="7" t="str">
        <f>IF(AND(F48="",G48=""),"",VLOOKUP(学校情報!$B$5&amp;F48&amp;G48,選手データ!$A:$I,9,FALSE))</f>
        <v/>
      </c>
      <c r="M48" s="44"/>
      <c r="N48" s="46"/>
      <c r="O48" s="47"/>
      <c r="P48" s="7" t="str">
        <f t="shared" ca="1" si="39"/>
        <v/>
      </c>
      <c r="Q48" s="46"/>
      <c r="R48" s="48"/>
      <c r="S48" s="45"/>
      <c r="T48" s="49"/>
      <c r="U48" s="8" t="str">
        <f t="shared" ca="1" si="40"/>
        <v/>
      </c>
      <c r="V48" s="8" t="str">
        <f t="shared" si="41"/>
        <v/>
      </c>
      <c r="W48" s="4">
        <f t="shared" si="42"/>
        <v>0</v>
      </c>
      <c r="X48" t="b">
        <f ca="1">IF(M48="",FALSE,VLOOKUP(M48,OFFSET(設定!$D$2:$I$25,0,AA48),2,FALSE))</f>
        <v>0</v>
      </c>
      <c r="Y48" t="str">
        <f ca="1">IF(M48="","",VLOOKUP(M48,OFFSET(設定!$D$2:$I$25,0,AA48),3,FALSE))</f>
        <v/>
      </c>
      <c r="Z48" t="b">
        <f ca="1">IF(M48="",FALSE,VLOOKUP(M48,OFFSET(設定!$D$2:$I$25,0,AA48),4,FALSE))</f>
        <v>0</v>
      </c>
      <c r="AA48">
        <f t="shared" si="9"/>
        <v>7</v>
      </c>
      <c r="AB48" s="1" t="str">
        <f ca="1">IF(M48="","",IF(AND(Z48,N48="〇"),IF(VLOOKUP(M48,OFFSET(設定!$D$2:$I$25,0,AA48),5,FALSE)="-","-",LEFT(VLOOKUP(M48,OFFSET(設定!$D$2:$I$25,0,AA48),5,FALSE),INT(LEN(VLOOKUP(M48,OFFSET(設定!$D$2:$I$25,0,AA48),5,FALSE))-1))),IF(VLOOKUP(M48,OFFSET(設定!$D$2:$I$25,0,AA48),5,FALSE)="-","-",INT(VLOOKUP(M48,OFFSET(設定!$D$2:$I$25,0,AA48),5,FALSE)))))</f>
        <v/>
      </c>
      <c r="AC48" s="1" t="str">
        <f ca="1">IF(M48="","",IF(AND(Z48,N48="〇"),IF(VLOOKUP(M48,OFFSET(設定!$D$2:$I$25,0,AA48),6,FALSE)="-","-",LEFT(VLOOKUP(M48,OFFSET(設定!$D$2:$I$25,0,AA48),6,FALSE),INT(LEN(VLOOKUP(M48,OFFSET(設定!$D$2:$I$25,0,AA48),6,FALSE))-1))),IF(VLOOKUP(M48,OFFSET(設定!$D$2:$I$25,0,AA48),6,FALSE)="-","-",INT(VLOOKUP(M48,OFFSET(設定!$D$2:$I$25,0,AA48),6,FALSE)))))</f>
        <v/>
      </c>
      <c r="AD48">
        <f t="shared" si="10"/>
        <v>2</v>
      </c>
      <c r="AE48" t="str">
        <f t="shared" ca="1" si="43"/>
        <v/>
      </c>
      <c r="AF48" t="str">
        <f t="shared" ca="1" si="44"/>
        <v/>
      </c>
      <c r="AG48" t="str">
        <f t="shared" ca="1" si="45"/>
        <v/>
      </c>
      <c r="AH48" t="b">
        <f t="shared" ca="1" si="46"/>
        <v>1</v>
      </c>
      <c r="AI48" t="b">
        <f t="shared" ca="1" si="47"/>
        <v>0</v>
      </c>
      <c r="AJ48" t="b">
        <f t="shared" ca="1" si="48"/>
        <v>0</v>
      </c>
      <c r="AK48" t="b">
        <f t="shared" si="49"/>
        <v>0</v>
      </c>
      <c r="AL48" t="b">
        <f t="shared" si="50"/>
        <v>0</v>
      </c>
      <c r="AM48" t="b">
        <f t="shared" si="51"/>
        <v>0</v>
      </c>
      <c r="AN48" t="b">
        <f t="shared" si="37"/>
        <v>0</v>
      </c>
      <c r="AO48" t="b">
        <f>IF(COUNTIF($D$6:D47,F48&amp;G48&amp;W48)&gt;0,AK48,FALSE)</f>
        <v>0</v>
      </c>
      <c r="AP48" t="b">
        <f t="shared" ca="1" si="19"/>
        <v>0</v>
      </c>
      <c r="AQ48" t="b">
        <f t="shared" si="52"/>
        <v>0</v>
      </c>
      <c r="AR48" t="b">
        <f t="shared" si="53"/>
        <v>0</v>
      </c>
      <c r="AS48" t="b">
        <f t="shared" ca="1" si="54"/>
        <v>0</v>
      </c>
      <c r="AT48" t="b">
        <f t="shared" ca="1" si="55"/>
        <v>0</v>
      </c>
      <c r="AU48" t="b">
        <f ca="1">IF(COUNTIF(設定!$B$6:$B$11,SUMIF($B$6:B47,G48&amp;W48,$C$6:C47)+IF(AI48,10,IF(AJ48,1,0)))=1,FALSE,AK48)</f>
        <v>0</v>
      </c>
      <c r="AV48" t="b">
        <f t="shared" ca="1" si="56"/>
        <v>0</v>
      </c>
      <c r="AW48" t="b">
        <f t="shared" ca="1" si="57"/>
        <v>0</v>
      </c>
      <c r="AX48" t="b">
        <f t="shared" si="58"/>
        <v>0</v>
      </c>
      <c r="AY48" t="b">
        <f t="shared" si="59"/>
        <v>0</v>
      </c>
      <c r="AZ48" t="b">
        <f t="shared" si="60"/>
        <v>0</v>
      </c>
      <c r="BA48" t="b">
        <f>IF(AND(設定!$B$2&lt;=T48,T48&lt;=設定!$B$3),FALSE,AK48)</f>
        <v>0</v>
      </c>
      <c r="BC48">
        <f t="shared" ca="1" si="4"/>
        <v>0</v>
      </c>
      <c r="BD48">
        <f t="shared" si="28"/>
        <v>43</v>
      </c>
      <c r="BE48" t="str">
        <f t="shared" si="29"/>
        <v/>
      </c>
      <c r="BF48">
        <f>IF(BG48&lt;&gt;"",MAX($BF$6:BF47)+1,0)</f>
        <v>0</v>
      </c>
      <c r="BG48" t="str">
        <f>IF(BE48&lt;&gt;"",IF(COUNTIF($BE$6:BE47,BE48)&gt;0,"",BE48),"")</f>
        <v/>
      </c>
      <c r="BH48" t="str">
        <f t="shared" si="30"/>
        <v/>
      </c>
      <c r="BI48">
        <f>IF(BJ48&lt;&gt;"",MAX($BI$6:BI47)+1,0)</f>
        <v>0</v>
      </c>
      <c r="BJ48" t="str">
        <f>IF(BH48&lt;&gt;"",IF(COUNTIF($BE$6:BH47,BH48)&gt;0,"",BH48),"")</f>
        <v/>
      </c>
    </row>
    <row r="49" spans="1:62" ht="16.5" customHeight="1">
      <c r="A49" t="str">
        <f t="shared" si="5"/>
        <v/>
      </c>
      <c r="B49" t="str">
        <f t="shared" si="38"/>
        <v/>
      </c>
      <c r="C49">
        <f t="shared" ca="1" si="61"/>
        <v>0</v>
      </c>
      <c r="D49" t="str">
        <f t="shared" si="7"/>
        <v/>
      </c>
      <c r="E49">
        <f>IF(B49="",0,LARGE($E$5:E48,1)+1)</f>
        <v>0</v>
      </c>
      <c r="F49" s="44"/>
      <c r="G49" s="45"/>
      <c r="H49" s="7" t="str">
        <f>IF(AND(F49="",G49=""),"",VLOOKUP(学校情報!$B$5&amp;F49&amp;G49,選手データ!$A:$H,4,FALSE))</f>
        <v/>
      </c>
      <c r="I49" s="7" t="str">
        <f>IF(AND(F49="",G49=""),"",VLOOKUP(学校情報!$B$5&amp;F49&amp;G49,選手データ!$A:$H,5,FALSE))</f>
        <v/>
      </c>
      <c r="J49" s="8" t="str">
        <f>IF(AND(F49="",G49=""),"",VLOOKUP(学校情報!$B$5&amp;F49&amp;G49,選手データ!$A:$H,6,FALSE))</f>
        <v/>
      </c>
      <c r="K49" s="32" t="str">
        <f>IF(AND(F49="",G49=""),"",VLOOKUP(学校情報!$B$5&amp;F49&amp;G49,選手データ!$A:$H,8,FALSE))</f>
        <v/>
      </c>
      <c r="L49" s="7" t="str">
        <f>IF(AND(F49="",G49=""),"",VLOOKUP(学校情報!$B$5&amp;F49&amp;G49,選手データ!$A:$I,9,FALSE))</f>
        <v/>
      </c>
      <c r="M49" s="44"/>
      <c r="N49" s="46"/>
      <c r="O49" s="47"/>
      <c r="P49" s="7" t="str">
        <f t="shared" ca="1" si="39"/>
        <v/>
      </c>
      <c r="Q49" s="46"/>
      <c r="R49" s="48"/>
      <c r="S49" s="45"/>
      <c r="T49" s="49"/>
      <c r="U49" s="8" t="str">
        <f t="shared" ca="1" si="40"/>
        <v/>
      </c>
      <c r="V49" s="8" t="str">
        <f t="shared" si="41"/>
        <v/>
      </c>
      <c r="W49" s="4">
        <f t="shared" si="42"/>
        <v>0</v>
      </c>
      <c r="X49" t="b">
        <f ca="1">IF(M49="",FALSE,VLOOKUP(M49,OFFSET(設定!$D$2:$I$25,0,AA49),2,FALSE))</f>
        <v>0</v>
      </c>
      <c r="Y49" t="str">
        <f ca="1">IF(M49="","",VLOOKUP(M49,OFFSET(設定!$D$2:$I$25,0,AA49),3,FALSE))</f>
        <v/>
      </c>
      <c r="Z49" t="b">
        <f ca="1">IF(M49="",FALSE,VLOOKUP(M49,OFFSET(設定!$D$2:$I$25,0,AA49),4,FALSE))</f>
        <v>0</v>
      </c>
      <c r="AA49">
        <f t="shared" si="9"/>
        <v>7</v>
      </c>
      <c r="AB49" s="1" t="str">
        <f ca="1">IF(M49="","",IF(AND(Z49,N49="〇"),IF(VLOOKUP(M49,OFFSET(設定!$D$2:$I$25,0,AA49),5,FALSE)="-","-",LEFT(VLOOKUP(M49,OFFSET(設定!$D$2:$I$25,0,AA49),5,FALSE),INT(LEN(VLOOKUP(M49,OFFSET(設定!$D$2:$I$25,0,AA49),5,FALSE))-1))),IF(VLOOKUP(M49,OFFSET(設定!$D$2:$I$25,0,AA49),5,FALSE)="-","-",INT(VLOOKUP(M49,OFFSET(設定!$D$2:$I$25,0,AA49),5,FALSE)))))</f>
        <v/>
      </c>
      <c r="AC49" s="1" t="str">
        <f ca="1">IF(M49="","",IF(AND(Z49,N49="〇"),IF(VLOOKUP(M49,OFFSET(設定!$D$2:$I$25,0,AA49),6,FALSE)="-","-",LEFT(VLOOKUP(M49,OFFSET(設定!$D$2:$I$25,0,AA49),6,FALSE),INT(LEN(VLOOKUP(M49,OFFSET(設定!$D$2:$I$25,0,AA49),6,FALSE))-1))),IF(VLOOKUP(M49,OFFSET(設定!$D$2:$I$25,0,AA49),6,FALSE)="-","-",INT(VLOOKUP(M49,OFFSET(設定!$D$2:$I$25,0,AA49),6,FALSE)))))</f>
        <v/>
      </c>
      <c r="AD49">
        <f t="shared" si="10"/>
        <v>2</v>
      </c>
      <c r="AE49" t="str">
        <f t="shared" ca="1" si="43"/>
        <v/>
      </c>
      <c r="AF49" t="str">
        <f t="shared" ca="1" si="44"/>
        <v/>
      </c>
      <c r="AG49" t="str">
        <f t="shared" ca="1" si="45"/>
        <v/>
      </c>
      <c r="AH49" t="b">
        <f t="shared" ca="1" si="46"/>
        <v>1</v>
      </c>
      <c r="AI49" t="b">
        <f t="shared" ca="1" si="47"/>
        <v>0</v>
      </c>
      <c r="AJ49" t="b">
        <f t="shared" ca="1" si="48"/>
        <v>0</v>
      </c>
      <c r="AK49" t="b">
        <f t="shared" si="49"/>
        <v>0</v>
      </c>
      <c r="AL49" t="b">
        <f t="shared" si="50"/>
        <v>0</v>
      </c>
      <c r="AM49" t="b">
        <f t="shared" si="51"/>
        <v>0</v>
      </c>
      <c r="AN49" t="b">
        <f t="shared" si="37"/>
        <v>0</v>
      </c>
      <c r="AO49" t="b">
        <f>IF(COUNTIF($D$6:D48,F49&amp;G49&amp;W49)&gt;0,AK49,FALSE)</f>
        <v>0</v>
      </c>
      <c r="AP49" t="b">
        <f t="shared" ca="1" si="19"/>
        <v>0</v>
      </c>
      <c r="AQ49" t="b">
        <f t="shared" si="52"/>
        <v>0</v>
      </c>
      <c r="AR49" t="b">
        <f t="shared" si="53"/>
        <v>0</v>
      </c>
      <c r="AS49" t="b">
        <f t="shared" ca="1" si="54"/>
        <v>0</v>
      </c>
      <c r="AT49" t="b">
        <f t="shared" ca="1" si="55"/>
        <v>0</v>
      </c>
      <c r="AU49" t="b">
        <f ca="1">IF(COUNTIF(設定!$B$6:$B$11,SUMIF($B$6:B48,G49&amp;W49,$C$6:C48)+IF(AI49,10,IF(AJ49,1,0)))=1,FALSE,AK49)</f>
        <v>0</v>
      </c>
      <c r="AV49" t="b">
        <f t="shared" ca="1" si="56"/>
        <v>0</v>
      </c>
      <c r="AW49" t="b">
        <f t="shared" ca="1" si="57"/>
        <v>0</v>
      </c>
      <c r="AX49" t="b">
        <f t="shared" si="58"/>
        <v>0</v>
      </c>
      <c r="AY49" t="b">
        <f t="shared" si="59"/>
        <v>0</v>
      </c>
      <c r="AZ49" t="b">
        <f t="shared" si="60"/>
        <v>0</v>
      </c>
      <c r="BA49" t="b">
        <f>IF(AND(設定!$B$2&lt;=T49,T49&lt;=設定!$B$3),FALSE,AK49)</f>
        <v>0</v>
      </c>
      <c r="BC49">
        <f t="shared" ca="1" si="4"/>
        <v>0</v>
      </c>
      <c r="BD49">
        <f t="shared" si="28"/>
        <v>44</v>
      </c>
      <c r="BE49" t="str">
        <f t="shared" si="29"/>
        <v/>
      </c>
      <c r="BF49">
        <f>IF(BG49&lt;&gt;"",MAX($BF$6:BF48)+1,0)</f>
        <v>0</v>
      </c>
      <c r="BG49" t="str">
        <f>IF(BE49&lt;&gt;"",IF(COUNTIF($BE$6:BE48,BE49)&gt;0,"",BE49),"")</f>
        <v/>
      </c>
      <c r="BH49" t="str">
        <f t="shared" si="30"/>
        <v/>
      </c>
      <c r="BI49">
        <f>IF(BJ49&lt;&gt;"",MAX($BI$6:BI48)+1,0)</f>
        <v>0</v>
      </c>
      <c r="BJ49" t="str">
        <f>IF(BH49&lt;&gt;"",IF(COUNTIF($BE$6:BH48,BH49)&gt;0,"",BH49),"")</f>
        <v/>
      </c>
    </row>
    <row r="50" spans="1:62" ht="16.5" customHeight="1">
      <c r="A50" t="str">
        <f t="shared" si="5"/>
        <v/>
      </c>
      <c r="B50" t="str">
        <f t="shared" si="38"/>
        <v/>
      </c>
      <c r="C50">
        <f t="shared" ca="1" si="61"/>
        <v>0</v>
      </c>
      <c r="D50" t="str">
        <f t="shared" si="7"/>
        <v/>
      </c>
      <c r="E50">
        <f>IF(B50="",0,LARGE($E$5:E49,1)+1)</f>
        <v>0</v>
      </c>
      <c r="F50" s="44"/>
      <c r="G50" s="45"/>
      <c r="H50" s="7" t="str">
        <f>IF(AND(F50="",G50=""),"",VLOOKUP(学校情報!$B$5&amp;F50&amp;G50,選手データ!$A:$H,4,FALSE))</f>
        <v/>
      </c>
      <c r="I50" s="7" t="str">
        <f>IF(AND(F50="",G50=""),"",VLOOKUP(学校情報!$B$5&amp;F50&amp;G50,選手データ!$A:$H,5,FALSE))</f>
        <v/>
      </c>
      <c r="J50" s="8" t="str">
        <f>IF(AND(F50="",G50=""),"",VLOOKUP(学校情報!$B$5&amp;F50&amp;G50,選手データ!$A:$H,6,FALSE))</f>
        <v/>
      </c>
      <c r="K50" s="32" t="str">
        <f>IF(AND(F50="",G50=""),"",VLOOKUP(学校情報!$B$5&amp;F50&amp;G50,選手データ!$A:$H,8,FALSE))</f>
        <v/>
      </c>
      <c r="L50" s="7" t="str">
        <f>IF(AND(F50="",G50=""),"",VLOOKUP(学校情報!$B$5&amp;F50&amp;G50,選手データ!$A:$I,9,FALSE))</f>
        <v/>
      </c>
      <c r="M50" s="44"/>
      <c r="N50" s="46"/>
      <c r="O50" s="47"/>
      <c r="P50" s="7" t="str">
        <f t="shared" ca="1" si="39"/>
        <v/>
      </c>
      <c r="Q50" s="46"/>
      <c r="R50" s="48"/>
      <c r="S50" s="45"/>
      <c r="T50" s="49"/>
      <c r="U50" s="8" t="str">
        <f t="shared" ca="1" si="40"/>
        <v/>
      </c>
      <c r="V50" s="8" t="str">
        <f t="shared" si="41"/>
        <v/>
      </c>
      <c r="W50" s="4">
        <f t="shared" si="42"/>
        <v>0</v>
      </c>
      <c r="X50" t="b">
        <f ca="1">IF(M50="",FALSE,VLOOKUP(M50,OFFSET(設定!$D$2:$I$25,0,AA50),2,FALSE))</f>
        <v>0</v>
      </c>
      <c r="Y50" t="str">
        <f ca="1">IF(M50="","",VLOOKUP(M50,OFFSET(設定!$D$2:$I$25,0,AA50),3,FALSE))</f>
        <v/>
      </c>
      <c r="Z50" t="b">
        <f ca="1">IF(M50="",FALSE,VLOOKUP(M50,OFFSET(設定!$D$2:$I$25,0,AA50),4,FALSE))</f>
        <v>0</v>
      </c>
      <c r="AA50">
        <f t="shared" si="9"/>
        <v>7</v>
      </c>
      <c r="AB50" s="1" t="str">
        <f ca="1">IF(M50="","",IF(AND(Z50,N50="〇"),IF(VLOOKUP(M50,OFFSET(設定!$D$2:$I$25,0,AA50),5,FALSE)="-","-",LEFT(VLOOKUP(M50,OFFSET(設定!$D$2:$I$25,0,AA50),5,FALSE),INT(LEN(VLOOKUP(M50,OFFSET(設定!$D$2:$I$25,0,AA50),5,FALSE))-1))),IF(VLOOKUP(M50,OFFSET(設定!$D$2:$I$25,0,AA50),5,FALSE)="-","-",INT(VLOOKUP(M50,OFFSET(設定!$D$2:$I$25,0,AA50),5,FALSE)))))</f>
        <v/>
      </c>
      <c r="AC50" s="1" t="str">
        <f ca="1">IF(M50="","",IF(AND(Z50,N50="〇"),IF(VLOOKUP(M50,OFFSET(設定!$D$2:$I$25,0,AA50),6,FALSE)="-","-",LEFT(VLOOKUP(M50,OFFSET(設定!$D$2:$I$25,0,AA50),6,FALSE),INT(LEN(VLOOKUP(M50,OFFSET(設定!$D$2:$I$25,0,AA50),6,FALSE))-1))),IF(VLOOKUP(M50,OFFSET(設定!$D$2:$I$25,0,AA50),6,FALSE)="-","-",INT(VLOOKUP(M50,OFFSET(設定!$D$2:$I$25,0,AA50),6,FALSE)))))</f>
        <v/>
      </c>
      <c r="AD50">
        <f t="shared" si="10"/>
        <v>2</v>
      </c>
      <c r="AE50" t="str">
        <f t="shared" ca="1" si="43"/>
        <v/>
      </c>
      <c r="AF50" t="str">
        <f t="shared" ca="1" si="44"/>
        <v/>
      </c>
      <c r="AG50" t="str">
        <f t="shared" ca="1" si="45"/>
        <v/>
      </c>
      <c r="AH50" t="b">
        <f t="shared" ca="1" si="46"/>
        <v>1</v>
      </c>
      <c r="AI50" t="b">
        <f t="shared" ca="1" si="47"/>
        <v>0</v>
      </c>
      <c r="AJ50" t="b">
        <f t="shared" ca="1" si="48"/>
        <v>0</v>
      </c>
      <c r="AK50" t="b">
        <f t="shared" si="49"/>
        <v>0</v>
      </c>
      <c r="AL50" t="b">
        <f t="shared" si="50"/>
        <v>0</v>
      </c>
      <c r="AM50" t="b">
        <f t="shared" si="51"/>
        <v>0</v>
      </c>
      <c r="AN50" t="b">
        <f t="shared" si="37"/>
        <v>0</v>
      </c>
      <c r="AO50" t="b">
        <f>IF(COUNTIF($D$6:D49,F50&amp;G50&amp;W50)&gt;0,AK50,FALSE)</f>
        <v>0</v>
      </c>
      <c r="AP50" t="b">
        <f t="shared" ca="1" si="19"/>
        <v>0</v>
      </c>
      <c r="AQ50" t="b">
        <f t="shared" si="52"/>
        <v>0</v>
      </c>
      <c r="AR50" t="b">
        <f t="shared" si="53"/>
        <v>0</v>
      </c>
      <c r="AS50" t="b">
        <f t="shared" ca="1" si="54"/>
        <v>0</v>
      </c>
      <c r="AT50" t="b">
        <f t="shared" ca="1" si="55"/>
        <v>0</v>
      </c>
      <c r="AU50" t="b">
        <f ca="1">IF(COUNTIF(設定!$B$6:$B$11,SUMIF($B$6:B49,G50&amp;W50,$C$6:C49)+IF(AI50,10,IF(AJ50,1,0)))=1,FALSE,AK50)</f>
        <v>0</v>
      </c>
      <c r="AV50" t="b">
        <f t="shared" ca="1" si="56"/>
        <v>0</v>
      </c>
      <c r="AW50" t="b">
        <f t="shared" ca="1" si="57"/>
        <v>0</v>
      </c>
      <c r="AX50" t="b">
        <f t="shared" si="58"/>
        <v>0</v>
      </c>
      <c r="AY50" t="b">
        <f t="shared" si="59"/>
        <v>0</v>
      </c>
      <c r="AZ50" t="b">
        <f t="shared" si="60"/>
        <v>0</v>
      </c>
      <c r="BA50" t="b">
        <f>IF(AND(設定!$B$2&lt;=T50,T50&lt;=設定!$B$3),FALSE,AK50)</f>
        <v>0</v>
      </c>
      <c r="BC50">
        <f t="shared" ca="1" si="4"/>
        <v>0</v>
      </c>
      <c r="BD50">
        <f t="shared" si="28"/>
        <v>45</v>
      </c>
      <c r="BE50" t="str">
        <f t="shared" si="29"/>
        <v/>
      </c>
      <c r="BF50">
        <f>IF(BG50&lt;&gt;"",MAX($BF$6:BF49)+1,0)</f>
        <v>0</v>
      </c>
      <c r="BG50" t="str">
        <f>IF(BE50&lt;&gt;"",IF(COUNTIF($BE$6:BE49,BE50)&gt;0,"",BE50),"")</f>
        <v/>
      </c>
      <c r="BH50" t="str">
        <f t="shared" si="30"/>
        <v/>
      </c>
      <c r="BI50">
        <f>IF(BJ50&lt;&gt;"",MAX($BI$6:BI49)+1,0)</f>
        <v>0</v>
      </c>
      <c r="BJ50" t="str">
        <f>IF(BH50&lt;&gt;"",IF(COUNTIF($BE$6:BH49,BH50)&gt;0,"",BH50),"")</f>
        <v/>
      </c>
    </row>
    <row r="51" spans="1:62" ht="16.5" customHeight="1">
      <c r="A51" t="str">
        <f t="shared" si="5"/>
        <v/>
      </c>
      <c r="B51" t="str">
        <f t="shared" si="38"/>
        <v/>
      </c>
      <c r="C51">
        <f t="shared" ca="1" si="61"/>
        <v>0</v>
      </c>
      <c r="D51" t="str">
        <f t="shared" si="7"/>
        <v/>
      </c>
      <c r="E51">
        <f>IF(B51="",0,LARGE($E$5:E50,1)+1)</f>
        <v>0</v>
      </c>
      <c r="F51" s="44"/>
      <c r="G51" s="45"/>
      <c r="H51" s="7" t="str">
        <f>IF(AND(F51="",G51=""),"",VLOOKUP(学校情報!$B$5&amp;F51&amp;G51,選手データ!$A:$H,4,FALSE))</f>
        <v/>
      </c>
      <c r="I51" s="7" t="str">
        <f>IF(AND(F51="",G51=""),"",VLOOKUP(学校情報!$B$5&amp;F51&amp;G51,選手データ!$A:$H,5,FALSE))</f>
        <v/>
      </c>
      <c r="J51" s="8" t="str">
        <f>IF(AND(F51="",G51=""),"",VLOOKUP(学校情報!$B$5&amp;F51&amp;G51,選手データ!$A:$H,6,FALSE))</f>
        <v/>
      </c>
      <c r="K51" s="32" t="str">
        <f>IF(AND(F51="",G51=""),"",VLOOKUP(学校情報!$B$5&amp;F51&amp;G51,選手データ!$A:$H,8,FALSE))</f>
        <v/>
      </c>
      <c r="L51" s="7" t="str">
        <f>IF(AND(F51="",G51=""),"",VLOOKUP(学校情報!$B$5&amp;F51&amp;G51,選手データ!$A:$I,9,FALSE))</f>
        <v/>
      </c>
      <c r="M51" s="44"/>
      <c r="N51" s="46"/>
      <c r="O51" s="47"/>
      <c r="P51" s="7" t="str">
        <f t="shared" ca="1" si="39"/>
        <v/>
      </c>
      <c r="Q51" s="46"/>
      <c r="R51" s="48"/>
      <c r="S51" s="45"/>
      <c r="T51" s="49"/>
      <c r="U51" s="8" t="str">
        <f t="shared" ca="1" si="40"/>
        <v/>
      </c>
      <c r="V51" s="8" t="str">
        <f t="shared" si="41"/>
        <v/>
      </c>
      <c r="W51" s="4">
        <f t="shared" si="42"/>
        <v>0</v>
      </c>
      <c r="X51" t="b">
        <f ca="1">IF(M51="",FALSE,VLOOKUP(M51,OFFSET(設定!$D$2:$I$25,0,AA51),2,FALSE))</f>
        <v>0</v>
      </c>
      <c r="Y51" t="str">
        <f ca="1">IF(M51="","",VLOOKUP(M51,OFFSET(設定!$D$2:$I$25,0,AA51),3,FALSE))</f>
        <v/>
      </c>
      <c r="Z51" t="b">
        <f ca="1">IF(M51="",FALSE,VLOOKUP(M51,OFFSET(設定!$D$2:$I$25,0,AA51),4,FALSE))</f>
        <v>0</v>
      </c>
      <c r="AA51">
        <f t="shared" si="9"/>
        <v>7</v>
      </c>
      <c r="AB51" s="1" t="str">
        <f ca="1">IF(M51="","",IF(AND(Z51,N51="〇"),IF(VLOOKUP(M51,OFFSET(設定!$D$2:$I$25,0,AA51),5,FALSE)="-","-",LEFT(VLOOKUP(M51,OFFSET(設定!$D$2:$I$25,0,AA51),5,FALSE),INT(LEN(VLOOKUP(M51,OFFSET(設定!$D$2:$I$25,0,AA51),5,FALSE))-1))),IF(VLOOKUP(M51,OFFSET(設定!$D$2:$I$25,0,AA51),5,FALSE)="-","-",INT(VLOOKUP(M51,OFFSET(設定!$D$2:$I$25,0,AA51),5,FALSE)))))</f>
        <v/>
      </c>
      <c r="AC51" s="1" t="str">
        <f ca="1">IF(M51="","",IF(AND(Z51,N51="〇"),IF(VLOOKUP(M51,OFFSET(設定!$D$2:$I$25,0,AA51),6,FALSE)="-","-",LEFT(VLOOKUP(M51,OFFSET(設定!$D$2:$I$25,0,AA51),6,FALSE),INT(LEN(VLOOKUP(M51,OFFSET(設定!$D$2:$I$25,0,AA51),6,FALSE))-1))),IF(VLOOKUP(M51,OFFSET(設定!$D$2:$I$25,0,AA51),6,FALSE)="-","-",INT(VLOOKUP(M51,OFFSET(設定!$D$2:$I$25,0,AA51),6,FALSE)))))</f>
        <v/>
      </c>
      <c r="AD51">
        <f t="shared" si="10"/>
        <v>2</v>
      </c>
      <c r="AE51" t="str">
        <f t="shared" ca="1" si="43"/>
        <v/>
      </c>
      <c r="AF51" t="str">
        <f t="shared" ca="1" si="44"/>
        <v/>
      </c>
      <c r="AG51" t="str">
        <f t="shared" ca="1" si="45"/>
        <v/>
      </c>
      <c r="AH51" t="b">
        <f t="shared" ca="1" si="46"/>
        <v>1</v>
      </c>
      <c r="AI51" t="b">
        <f t="shared" ca="1" si="47"/>
        <v>0</v>
      </c>
      <c r="AJ51" t="b">
        <f t="shared" ca="1" si="48"/>
        <v>0</v>
      </c>
      <c r="AK51" t="b">
        <f t="shared" si="49"/>
        <v>0</v>
      </c>
      <c r="AL51" t="b">
        <f t="shared" si="50"/>
        <v>0</v>
      </c>
      <c r="AM51" t="b">
        <f t="shared" si="51"/>
        <v>0</v>
      </c>
      <c r="AN51" t="b">
        <f t="shared" si="37"/>
        <v>0</v>
      </c>
      <c r="AO51" t="b">
        <f>IF(COUNTIF($D$6:D50,F51&amp;G51&amp;W51)&gt;0,AK51,FALSE)</f>
        <v>0</v>
      </c>
      <c r="AP51" t="b">
        <f t="shared" ca="1" si="19"/>
        <v>0</v>
      </c>
      <c r="AQ51" t="b">
        <f t="shared" si="52"/>
        <v>0</v>
      </c>
      <c r="AR51" t="b">
        <f t="shared" si="53"/>
        <v>0</v>
      </c>
      <c r="AS51" t="b">
        <f t="shared" ca="1" si="54"/>
        <v>0</v>
      </c>
      <c r="AT51" t="b">
        <f t="shared" ca="1" si="55"/>
        <v>0</v>
      </c>
      <c r="AU51" t="b">
        <f ca="1">IF(COUNTIF(設定!$B$6:$B$11,SUMIF($B$6:B50,G51&amp;W51,$C$6:C50)+IF(AI51,10,IF(AJ51,1,0)))=1,FALSE,AK51)</f>
        <v>0</v>
      </c>
      <c r="AV51" t="b">
        <f t="shared" ca="1" si="56"/>
        <v>0</v>
      </c>
      <c r="AW51" t="b">
        <f t="shared" ca="1" si="57"/>
        <v>0</v>
      </c>
      <c r="AX51" t="b">
        <f t="shared" si="58"/>
        <v>0</v>
      </c>
      <c r="AY51" t="b">
        <f t="shared" si="59"/>
        <v>0</v>
      </c>
      <c r="AZ51" t="b">
        <f t="shared" si="60"/>
        <v>0</v>
      </c>
      <c r="BA51" t="b">
        <f>IF(AND(設定!$B$2&lt;=T51,T51&lt;=設定!$B$3),FALSE,AK51)</f>
        <v>0</v>
      </c>
      <c r="BC51">
        <f t="shared" ca="1" si="4"/>
        <v>0</v>
      </c>
      <c r="BD51">
        <f t="shared" si="28"/>
        <v>46</v>
      </c>
      <c r="BE51" t="str">
        <f t="shared" si="29"/>
        <v/>
      </c>
      <c r="BF51">
        <f>IF(BG51&lt;&gt;"",MAX($BF$6:BF50)+1,0)</f>
        <v>0</v>
      </c>
      <c r="BG51" t="str">
        <f>IF(BE51&lt;&gt;"",IF(COUNTIF($BE$6:BE50,BE51)&gt;0,"",BE51),"")</f>
        <v/>
      </c>
      <c r="BH51" t="str">
        <f t="shared" si="30"/>
        <v/>
      </c>
      <c r="BI51">
        <f>IF(BJ51&lt;&gt;"",MAX($BI$6:BI50)+1,0)</f>
        <v>0</v>
      </c>
      <c r="BJ51" t="str">
        <f>IF(BH51&lt;&gt;"",IF(COUNTIF($BE$6:BH50,BH51)&gt;0,"",BH51),"")</f>
        <v/>
      </c>
    </row>
    <row r="52" spans="1:62" ht="16.5" customHeight="1">
      <c r="A52" t="str">
        <f t="shared" si="5"/>
        <v/>
      </c>
      <c r="B52" t="str">
        <f t="shared" si="38"/>
        <v/>
      </c>
      <c r="C52">
        <f t="shared" ca="1" si="61"/>
        <v>0</v>
      </c>
      <c r="D52" t="str">
        <f t="shared" si="7"/>
        <v/>
      </c>
      <c r="E52">
        <f>IF(B52="",0,LARGE($E$5:E51,1)+1)</f>
        <v>0</v>
      </c>
      <c r="F52" s="44"/>
      <c r="G52" s="45"/>
      <c r="H52" s="7" t="str">
        <f>IF(AND(F52="",G52=""),"",VLOOKUP(学校情報!$B$5&amp;F52&amp;G52,選手データ!$A:$H,4,FALSE))</f>
        <v/>
      </c>
      <c r="I52" s="7" t="str">
        <f>IF(AND(F52="",G52=""),"",VLOOKUP(学校情報!$B$5&amp;F52&amp;G52,選手データ!$A:$H,5,FALSE))</f>
        <v/>
      </c>
      <c r="J52" s="8" t="str">
        <f>IF(AND(F52="",G52=""),"",VLOOKUP(学校情報!$B$5&amp;F52&amp;G52,選手データ!$A:$H,6,FALSE))</f>
        <v/>
      </c>
      <c r="K52" s="32" t="str">
        <f>IF(AND(F52="",G52=""),"",VLOOKUP(学校情報!$B$5&amp;F52&amp;G52,選手データ!$A:$H,8,FALSE))</f>
        <v/>
      </c>
      <c r="L52" s="7" t="str">
        <f>IF(AND(F52="",G52=""),"",VLOOKUP(学校情報!$B$5&amp;F52&amp;G52,選手データ!$A:$I,9,FALSE))</f>
        <v/>
      </c>
      <c r="M52" s="44"/>
      <c r="N52" s="46"/>
      <c r="O52" s="47"/>
      <c r="P52" s="7" t="str">
        <f t="shared" ca="1" si="39"/>
        <v/>
      </c>
      <c r="Q52" s="46"/>
      <c r="R52" s="48"/>
      <c r="S52" s="45"/>
      <c r="T52" s="49"/>
      <c r="U52" s="8" t="str">
        <f t="shared" ca="1" si="40"/>
        <v/>
      </c>
      <c r="V52" s="8" t="str">
        <f t="shared" si="41"/>
        <v/>
      </c>
      <c r="W52" s="4">
        <f t="shared" si="42"/>
        <v>0</v>
      </c>
      <c r="X52" t="b">
        <f ca="1">IF(M52="",FALSE,VLOOKUP(M52,OFFSET(設定!$D$2:$I$25,0,AA52),2,FALSE))</f>
        <v>0</v>
      </c>
      <c r="Y52" t="str">
        <f ca="1">IF(M52="","",VLOOKUP(M52,OFFSET(設定!$D$2:$I$25,0,AA52),3,FALSE))</f>
        <v/>
      </c>
      <c r="Z52" t="b">
        <f ca="1">IF(M52="",FALSE,VLOOKUP(M52,OFFSET(設定!$D$2:$I$25,0,AA52),4,FALSE))</f>
        <v>0</v>
      </c>
      <c r="AA52">
        <f t="shared" si="9"/>
        <v>7</v>
      </c>
      <c r="AB52" s="1" t="str">
        <f ca="1">IF(M52="","",IF(AND(Z52,N52="〇"),IF(VLOOKUP(M52,OFFSET(設定!$D$2:$I$25,0,AA52),5,FALSE)="-","-",LEFT(VLOOKUP(M52,OFFSET(設定!$D$2:$I$25,0,AA52),5,FALSE),INT(LEN(VLOOKUP(M52,OFFSET(設定!$D$2:$I$25,0,AA52),5,FALSE))-1))),IF(VLOOKUP(M52,OFFSET(設定!$D$2:$I$25,0,AA52),5,FALSE)="-","-",INT(VLOOKUP(M52,OFFSET(設定!$D$2:$I$25,0,AA52),5,FALSE)))))</f>
        <v/>
      </c>
      <c r="AC52" s="1" t="str">
        <f ca="1">IF(M52="","",IF(AND(Z52,N52="〇"),IF(VLOOKUP(M52,OFFSET(設定!$D$2:$I$25,0,AA52),6,FALSE)="-","-",LEFT(VLOOKUP(M52,OFFSET(設定!$D$2:$I$25,0,AA52),6,FALSE),INT(LEN(VLOOKUP(M52,OFFSET(設定!$D$2:$I$25,0,AA52),6,FALSE))-1))),IF(VLOOKUP(M52,OFFSET(設定!$D$2:$I$25,0,AA52),6,FALSE)="-","-",INT(VLOOKUP(M52,OFFSET(設定!$D$2:$I$25,0,AA52),6,FALSE)))))</f>
        <v/>
      </c>
      <c r="AD52">
        <f t="shared" si="10"/>
        <v>2</v>
      </c>
      <c r="AE52" t="str">
        <f t="shared" ca="1" si="43"/>
        <v/>
      </c>
      <c r="AF52" t="str">
        <f t="shared" ca="1" si="44"/>
        <v/>
      </c>
      <c r="AG52" t="str">
        <f t="shared" ca="1" si="45"/>
        <v/>
      </c>
      <c r="AH52" t="b">
        <f t="shared" ca="1" si="46"/>
        <v>1</v>
      </c>
      <c r="AI52" t="b">
        <f t="shared" ca="1" si="47"/>
        <v>0</v>
      </c>
      <c r="AJ52" t="b">
        <f t="shared" ca="1" si="48"/>
        <v>0</v>
      </c>
      <c r="AK52" t="b">
        <f t="shared" si="49"/>
        <v>0</v>
      </c>
      <c r="AL52" t="b">
        <f t="shared" si="50"/>
        <v>0</v>
      </c>
      <c r="AM52" t="b">
        <f t="shared" si="51"/>
        <v>0</v>
      </c>
      <c r="AN52" t="b">
        <f t="shared" si="37"/>
        <v>0</v>
      </c>
      <c r="AO52" t="b">
        <f>IF(COUNTIF($D$6:D51,F52&amp;G52&amp;W52)&gt;0,AK52,FALSE)</f>
        <v>0</v>
      </c>
      <c r="AP52" t="b">
        <f t="shared" ca="1" si="19"/>
        <v>0</v>
      </c>
      <c r="AQ52" t="b">
        <f t="shared" si="52"/>
        <v>0</v>
      </c>
      <c r="AR52" t="b">
        <f t="shared" si="53"/>
        <v>0</v>
      </c>
      <c r="AS52" t="b">
        <f t="shared" ca="1" si="54"/>
        <v>0</v>
      </c>
      <c r="AT52" t="b">
        <f t="shared" ca="1" si="55"/>
        <v>0</v>
      </c>
      <c r="AU52" t="b">
        <f ca="1">IF(COUNTIF(設定!$B$6:$B$11,SUMIF($B$6:B51,G52&amp;W52,$C$6:C51)+IF(AI52,10,IF(AJ52,1,0)))=1,FALSE,AK52)</f>
        <v>0</v>
      </c>
      <c r="AV52" t="b">
        <f t="shared" ca="1" si="56"/>
        <v>0</v>
      </c>
      <c r="AW52" t="b">
        <f t="shared" ca="1" si="57"/>
        <v>0</v>
      </c>
      <c r="AX52" t="b">
        <f t="shared" si="58"/>
        <v>0</v>
      </c>
      <c r="AY52" t="b">
        <f t="shared" si="59"/>
        <v>0</v>
      </c>
      <c r="AZ52" t="b">
        <f t="shared" si="60"/>
        <v>0</v>
      </c>
      <c r="BA52" t="b">
        <f>IF(AND(設定!$B$2&lt;=T52,T52&lt;=設定!$B$3),FALSE,AK52)</f>
        <v>0</v>
      </c>
      <c r="BC52">
        <f t="shared" ca="1" si="4"/>
        <v>0</v>
      </c>
      <c r="BD52">
        <f t="shared" si="28"/>
        <v>47</v>
      </c>
      <c r="BE52" t="str">
        <f t="shared" si="29"/>
        <v/>
      </c>
      <c r="BF52">
        <f>IF(BG52&lt;&gt;"",MAX($BF$6:BF51)+1,0)</f>
        <v>0</v>
      </c>
      <c r="BG52" t="str">
        <f>IF(BE52&lt;&gt;"",IF(COUNTIF($BE$6:BE51,BE52)&gt;0,"",BE52),"")</f>
        <v/>
      </c>
      <c r="BH52" t="str">
        <f t="shared" si="30"/>
        <v/>
      </c>
      <c r="BI52">
        <f>IF(BJ52&lt;&gt;"",MAX($BI$6:BI51)+1,0)</f>
        <v>0</v>
      </c>
      <c r="BJ52" t="str">
        <f>IF(BH52&lt;&gt;"",IF(COUNTIF($BE$6:BH51,BH52)&gt;0,"",BH52),"")</f>
        <v/>
      </c>
    </row>
    <row r="53" spans="1:62" ht="16.5" customHeight="1">
      <c r="A53" t="str">
        <f t="shared" si="5"/>
        <v/>
      </c>
      <c r="B53" t="str">
        <f t="shared" si="38"/>
        <v/>
      </c>
      <c r="C53">
        <f t="shared" ca="1" si="61"/>
        <v>0</v>
      </c>
      <c r="D53" t="str">
        <f t="shared" si="7"/>
        <v/>
      </c>
      <c r="E53">
        <f>IF(B53="",0,LARGE($E$5:E52,1)+1)</f>
        <v>0</v>
      </c>
      <c r="F53" s="44"/>
      <c r="G53" s="45"/>
      <c r="H53" s="7" t="str">
        <f>IF(AND(F53="",G53=""),"",VLOOKUP(学校情報!$B$5&amp;F53&amp;G53,選手データ!$A:$H,4,FALSE))</f>
        <v/>
      </c>
      <c r="I53" s="7" t="str">
        <f>IF(AND(F53="",G53=""),"",VLOOKUP(学校情報!$B$5&amp;F53&amp;G53,選手データ!$A:$H,5,FALSE))</f>
        <v/>
      </c>
      <c r="J53" s="8" t="str">
        <f>IF(AND(F53="",G53=""),"",VLOOKUP(学校情報!$B$5&amp;F53&amp;G53,選手データ!$A:$H,6,FALSE))</f>
        <v/>
      </c>
      <c r="K53" s="32" t="str">
        <f>IF(AND(F53="",G53=""),"",VLOOKUP(学校情報!$B$5&amp;F53&amp;G53,選手データ!$A:$H,8,FALSE))</f>
        <v/>
      </c>
      <c r="L53" s="7" t="str">
        <f>IF(AND(F53="",G53=""),"",VLOOKUP(学校情報!$B$5&amp;F53&amp;G53,選手データ!$A:$I,9,FALSE))</f>
        <v/>
      </c>
      <c r="M53" s="44"/>
      <c r="N53" s="46"/>
      <c r="O53" s="47"/>
      <c r="P53" s="7" t="str">
        <f t="shared" ca="1" si="39"/>
        <v/>
      </c>
      <c r="Q53" s="46"/>
      <c r="R53" s="48"/>
      <c r="S53" s="45"/>
      <c r="T53" s="49"/>
      <c r="U53" s="8" t="str">
        <f t="shared" ca="1" si="40"/>
        <v/>
      </c>
      <c r="V53" s="8" t="str">
        <f t="shared" si="41"/>
        <v/>
      </c>
      <c r="W53" s="4">
        <f t="shared" si="42"/>
        <v>0</v>
      </c>
      <c r="X53" t="b">
        <f ca="1">IF(M53="",FALSE,VLOOKUP(M53,OFFSET(設定!$D$2:$I$25,0,AA53),2,FALSE))</f>
        <v>0</v>
      </c>
      <c r="Y53" t="str">
        <f ca="1">IF(M53="","",VLOOKUP(M53,OFFSET(設定!$D$2:$I$25,0,AA53),3,FALSE))</f>
        <v/>
      </c>
      <c r="Z53" t="b">
        <f ca="1">IF(M53="",FALSE,VLOOKUP(M53,OFFSET(設定!$D$2:$I$25,0,AA53),4,FALSE))</f>
        <v>0</v>
      </c>
      <c r="AA53">
        <f t="shared" si="9"/>
        <v>7</v>
      </c>
      <c r="AB53" s="1" t="str">
        <f ca="1">IF(M53="","",IF(AND(Z53,N53="〇"),IF(VLOOKUP(M53,OFFSET(設定!$D$2:$I$25,0,AA53),5,FALSE)="-","-",LEFT(VLOOKUP(M53,OFFSET(設定!$D$2:$I$25,0,AA53),5,FALSE),INT(LEN(VLOOKUP(M53,OFFSET(設定!$D$2:$I$25,0,AA53),5,FALSE))-1))),IF(VLOOKUP(M53,OFFSET(設定!$D$2:$I$25,0,AA53),5,FALSE)="-","-",INT(VLOOKUP(M53,OFFSET(設定!$D$2:$I$25,0,AA53),5,FALSE)))))</f>
        <v/>
      </c>
      <c r="AC53" s="1" t="str">
        <f ca="1">IF(M53="","",IF(AND(Z53,N53="〇"),IF(VLOOKUP(M53,OFFSET(設定!$D$2:$I$25,0,AA53),6,FALSE)="-","-",LEFT(VLOOKUP(M53,OFFSET(設定!$D$2:$I$25,0,AA53),6,FALSE),INT(LEN(VLOOKUP(M53,OFFSET(設定!$D$2:$I$25,0,AA53),6,FALSE))-1))),IF(VLOOKUP(M53,OFFSET(設定!$D$2:$I$25,0,AA53),6,FALSE)="-","-",INT(VLOOKUP(M53,OFFSET(設定!$D$2:$I$25,0,AA53),6,FALSE)))))</f>
        <v/>
      </c>
      <c r="AD53">
        <f t="shared" si="10"/>
        <v>2</v>
      </c>
      <c r="AE53" t="str">
        <f t="shared" ca="1" si="43"/>
        <v/>
      </c>
      <c r="AF53" t="str">
        <f t="shared" ca="1" si="44"/>
        <v/>
      </c>
      <c r="AG53" t="str">
        <f t="shared" ca="1" si="45"/>
        <v/>
      </c>
      <c r="AH53" t="b">
        <f t="shared" ca="1" si="46"/>
        <v>1</v>
      </c>
      <c r="AI53" t="b">
        <f t="shared" ca="1" si="47"/>
        <v>0</v>
      </c>
      <c r="AJ53" t="b">
        <f t="shared" ca="1" si="48"/>
        <v>0</v>
      </c>
      <c r="AK53" t="b">
        <f t="shared" si="49"/>
        <v>0</v>
      </c>
      <c r="AL53" t="b">
        <f t="shared" si="50"/>
        <v>0</v>
      </c>
      <c r="AM53" t="b">
        <f t="shared" si="51"/>
        <v>0</v>
      </c>
      <c r="AN53" t="b">
        <f t="shared" si="37"/>
        <v>0</v>
      </c>
      <c r="AO53" t="b">
        <f>IF(COUNTIF($D$6:D52,F53&amp;G53&amp;W53)&gt;0,AK53,FALSE)</f>
        <v>0</v>
      </c>
      <c r="AP53" t="b">
        <f t="shared" ca="1" si="19"/>
        <v>0</v>
      </c>
      <c r="AQ53" t="b">
        <f t="shared" si="52"/>
        <v>0</v>
      </c>
      <c r="AR53" t="b">
        <f t="shared" si="53"/>
        <v>0</v>
      </c>
      <c r="AS53" t="b">
        <f t="shared" ca="1" si="54"/>
        <v>0</v>
      </c>
      <c r="AT53" t="b">
        <f t="shared" ca="1" si="55"/>
        <v>0</v>
      </c>
      <c r="AU53" t="b">
        <f ca="1">IF(COUNTIF(設定!$B$6:$B$11,SUMIF($B$6:B52,G53&amp;W53,$C$6:C52)+IF(AI53,10,IF(AJ53,1,0)))=1,FALSE,AK53)</f>
        <v>0</v>
      </c>
      <c r="AV53" t="b">
        <f t="shared" ca="1" si="56"/>
        <v>0</v>
      </c>
      <c r="AW53" t="b">
        <f t="shared" ca="1" si="57"/>
        <v>0</v>
      </c>
      <c r="AX53" t="b">
        <f t="shared" si="58"/>
        <v>0</v>
      </c>
      <c r="AY53" t="b">
        <f t="shared" si="59"/>
        <v>0</v>
      </c>
      <c r="AZ53" t="b">
        <f t="shared" si="60"/>
        <v>0</v>
      </c>
      <c r="BA53" t="b">
        <f>IF(AND(設定!$B$2&lt;=T53,T53&lt;=設定!$B$3),FALSE,AK53)</f>
        <v>0</v>
      </c>
      <c r="BC53">
        <f t="shared" ca="1" si="4"/>
        <v>0</v>
      </c>
      <c r="BD53">
        <f t="shared" si="28"/>
        <v>48</v>
      </c>
      <c r="BE53" t="str">
        <f t="shared" si="29"/>
        <v/>
      </c>
      <c r="BF53">
        <f>IF(BG53&lt;&gt;"",MAX($BF$6:BF52)+1,0)</f>
        <v>0</v>
      </c>
      <c r="BG53" t="str">
        <f>IF(BE53&lt;&gt;"",IF(COUNTIF($BE$6:BE52,BE53)&gt;0,"",BE53),"")</f>
        <v/>
      </c>
      <c r="BH53" t="str">
        <f t="shared" si="30"/>
        <v/>
      </c>
      <c r="BI53">
        <f>IF(BJ53&lt;&gt;"",MAX($BI$6:BI52)+1,0)</f>
        <v>0</v>
      </c>
      <c r="BJ53" t="str">
        <f>IF(BH53&lt;&gt;"",IF(COUNTIF($BE$6:BH52,BH53)&gt;0,"",BH53),"")</f>
        <v/>
      </c>
    </row>
    <row r="54" spans="1:62" ht="16.5" customHeight="1">
      <c r="A54" t="str">
        <f t="shared" si="5"/>
        <v/>
      </c>
      <c r="B54" t="str">
        <f t="shared" ref="B54:B60" si="62">IF(V54="〇",G54&amp;W54,"")</f>
        <v/>
      </c>
      <c r="C54">
        <f t="shared" ca="1" si="61"/>
        <v>0</v>
      </c>
      <c r="D54" t="str">
        <f t="shared" si="7"/>
        <v/>
      </c>
      <c r="E54">
        <f>IF(B54="",0,LARGE($E$5:E53,1)+1)</f>
        <v>0</v>
      </c>
      <c r="F54" s="44"/>
      <c r="G54" s="45"/>
      <c r="H54" s="7" t="str">
        <f>IF(AND(F54="",G54=""),"",VLOOKUP(学校情報!$B$5&amp;F54&amp;G54,選手データ!$A:$H,4,FALSE))</f>
        <v/>
      </c>
      <c r="I54" s="7" t="str">
        <f>IF(AND(F54="",G54=""),"",VLOOKUP(学校情報!$B$5&amp;F54&amp;G54,選手データ!$A:$H,5,FALSE))</f>
        <v/>
      </c>
      <c r="J54" s="8" t="str">
        <f>IF(AND(F54="",G54=""),"",VLOOKUP(学校情報!$B$5&amp;F54&amp;G54,選手データ!$A:$H,6,FALSE))</f>
        <v/>
      </c>
      <c r="K54" s="32" t="str">
        <f>IF(AND(F54="",G54=""),"",VLOOKUP(学校情報!$B$5&amp;F54&amp;G54,選手データ!$A:$H,8,FALSE))</f>
        <v/>
      </c>
      <c r="L54" s="7" t="str">
        <f>IF(AND(F54="",G54=""),"",VLOOKUP(学校情報!$B$5&amp;F54&amp;G54,選手データ!$A:$I,9,FALSE))</f>
        <v/>
      </c>
      <c r="M54" s="44"/>
      <c r="N54" s="46"/>
      <c r="O54" s="47"/>
      <c r="P54" s="7" t="str">
        <f t="shared" ref="P54:P60" ca="1" si="63">AE54&amp;AF54&amp;AG54</f>
        <v/>
      </c>
      <c r="Q54" s="46"/>
      <c r="R54" s="48"/>
      <c r="S54" s="45"/>
      <c r="T54" s="49"/>
      <c r="U54" s="8" t="str">
        <f t="shared" ref="U54:U60" ca="1" si="64">IF(AI54,"A",IF(AJ54,"B",""))</f>
        <v/>
      </c>
      <c r="V54" s="8" t="str">
        <f t="shared" ref="V54:V60" si="65">IF(AK54,IF(COUNTIF(AL54:BB54,TRUE)&gt;0,"×","〇"),"")</f>
        <v/>
      </c>
      <c r="W54" s="4">
        <f t="shared" ref="W54:W60" si="66">IF(ISNUMBER(FIND("(",M54)),LEFT(M54,FIND("(",M54)-1),M54)</f>
        <v>0</v>
      </c>
      <c r="X54" t="b">
        <f ca="1">IF(M54="",FALSE,VLOOKUP(M54,OFFSET(設定!$D$2:$I$25,0,AA54),2,FALSE))</f>
        <v>0</v>
      </c>
      <c r="Y54" t="str">
        <f ca="1">IF(M54="","",VLOOKUP(M54,OFFSET(設定!$D$2:$I$25,0,AA54),3,FALSE))</f>
        <v/>
      </c>
      <c r="Z54" t="b">
        <f ca="1">IF(M54="",FALSE,VLOOKUP(M54,OFFSET(設定!$D$2:$I$25,0,AA54),4,FALSE))</f>
        <v>0</v>
      </c>
      <c r="AA54">
        <f t="shared" si="9"/>
        <v>7</v>
      </c>
      <c r="AB54" s="1" t="str">
        <f ca="1">IF(M54="","",IF(AND(Z54,N54="〇"),IF(VLOOKUP(M54,OFFSET(設定!$D$2:$I$25,0,AA54),5,FALSE)="-","-",LEFT(VLOOKUP(M54,OFFSET(設定!$D$2:$I$25,0,AA54),5,FALSE),INT(LEN(VLOOKUP(M54,OFFSET(設定!$D$2:$I$25,0,AA54),5,FALSE))-1))),IF(VLOOKUP(M54,OFFSET(設定!$D$2:$I$25,0,AA54),5,FALSE)="-","-",INT(VLOOKUP(M54,OFFSET(設定!$D$2:$I$25,0,AA54),5,FALSE)))))</f>
        <v/>
      </c>
      <c r="AC54" s="1" t="str">
        <f ca="1">IF(M54="","",IF(AND(Z54,N54="〇"),IF(VLOOKUP(M54,OFFSET(設定!$D$2:$I$25,0,AA54),6,FALSE)="-","-",LEFT(VLOOKUP(M54,OFFSET(設定!$D$2:$I$25,0,AA54),6,FALSE),INT(LEN(VLOOKUP(M54,OFFSET(設定!$D$2:$I$25,0,AA54),6,FALSE))-1))),IF(VLOOKUP(M54,OFFSET(設定!$D$2:$I$25,0,AA54),6,FALSE)="-","-",INT(VLOOKUP(M54,OFFSET(設定!$D$2:$I$25,0,AA54),6,FALSE)))))</f>
        <v/>
      </c>
      <c r="AD54">
        <f t="shared" si="10"/>
        <v>2</v>
      </c>
      <c r="AE54" t="str">
        <f t="shared" ref="AE54:AE60" ca="1" si="67">IF(Y54="秒",IF(LEN(O54)&lt;=2,"",IF(LEN(O54)&gt;=3,LEFT(O54,LEN(O54)-2)&amp;"分"&amp;RIGHT(O54,2)&amp;"秒","")),"")</f>
        <v/>
      </c>
      <c r="AF54" t="str">
        <f t="shared" ref="AF54:AF60" ca="1" si="68">IF(Y54="ミリ秒",IF(LEN(O54)&gt;AD54,IF(LEN(O54)&lt;=AD54+2,LEFT(O54,LEN(O54)-AD54)&amp;"秒"&amp;RIGHT(O54,AD54),LEFT(O54,LEN(O54)-(AD54+2))&amp;"分"&amp;MID(O54,LEN(O54)-(AD54+2)+1,2)&amp;"秒"&amp;RIGHT(O54,AD54)),""),"")</f>
        <v/>
      </c>
      <c r="AG54" t="str">
        <f t="shared" ref="AG54:AG60" ca="1" si="69">IF(Y54="ｍ",IF(LEN(O54)&gt;=3,LEFT(O54,LEN(O54)-2)&amp;"ｍ"&amp;RIGHT(O54,2),""),"")</f>
        <v/>
      </c>
      <c r="AH54" t="b">
        <f t="shared" ref="AH54:AH60" ca="1" si="70">IF(X54,IF(OR(Q54="",R54=""),FALSE,IF(INT(Q54&amp;ROUNDUP(TEXT(R54,"0.0"),0))&lt;=2,TRUE,FALSE)),TRUE)</f>
        <v>1</v>
      </c>
      <c r="AI54" t="b">
        <f t="shared" ref="AI54:AI60" ca="1" si="71">IF(AND(NOT(AR54),NOT(AS54),AE54&amp;AF54&amp;AG54&lt;&gt;"",AB54&lt;&gt;"-"),IF(Y54="ｍ",IF(INT(AB54)&lt;=INT(O54),TRUE,FALSE),IF(INT(AB54)&gt;=INT(O54),TRUE,FALSE)),FALSE)</f>
        <v>0</v>
      </c>
      <c r="AJ54" t="b">
        <f t="shared" ref="AJ54:AJ60" ca="1" si="72">IF(AND(NOT(AR54),NOT(AS54),AE54&amp;AF54&amp;AG54&lt;&gt;""),IF(Y54="ｍ",IF(INT(AC54)&lt;=INT(O54),TRUE,FALSE),IF(INT(AC54)&gt;=INT(O54),TRUE,FALSE)),FALSE)</f>
        <v>0</v>
      </c>
      <c r="AK54" t="b">
        <f t="shared" ref="AK54:AK60" si="73">IF(F54&amp;G54&amp;M54&amp;O54&amp;Q54&amp;R54&amp;S54&amp;T54&lt;&gt;"",TRUE,FALSE)</f>
        <v>0</v>
      </c>
      <c r="AL54" t="b">
        <f t="shared" ref="AL54:AL60" si="74">IF(AND(AK54,F54=""),TRUE,FALSE)</f>
        <v>0</v>
      </c>
      <c r="AM54" t="b">
        <f t="shared" ref="AM54:AM60" si="75">IF(AND(AK54,F54&lt;&gt;"",ISNA(H54)),TRUE,FALSE)</f>
        <v>0</v>
      </c>
      <c r="AN54" t="b">
        <f t="shared" si="37"/>
        <v>0</v>
      </c>
      <c r="AO54" t="b">
        <f>IF(COUNTIF($D$6:D53,F54&amp;G54&amp;W54)&gt;0,AK54,FALSE)</f>
        <v>0</v>
      </c>
      <c r="AP54" t="b">
        <f t="shared" ca="1" si="19"/>
        <v>0</v>
      </c>
      <c r="AQ54" t="b">
        <f t="shared" ref="AQ54:AQ60" si="76">IF(AND(AK54,O54=""),TRUE,FALSE)</f>
        <v>0</v>
      </c>
      <c r="AR54" t="b">
        <f t="shared" ref="AR54:AR60" si="77">IF(ISNUMBER(O54),FALSE,AK54)</f>
        <v>0</v>
      </c>
      <c r="AS54" t="b">
        <f t="shared" ref="AS54:AS60" ca="1" si="78">IF(Y54="ｍ",FALSE,IF(LEN(O54)&gt;=AD54+2,IF(INT(LEFT(RIGHT(O54,AD54+2),2))&gt;=60,TRUE,FALSE),FALSE))</f>
        <v>0</v>
      </c>
      <c r="AT54" t="b">
        <f t="shared" ref="AT54:AT60" ca="1" si="79">IF(AND(NOT(AI54),NOT(AJ54)),AK54,FALSE)</f>
        <v>0</v>
      </c>
      <c r="AU54" t="b">
        <f ca="1">IF(COUNTIF(設定!$B$6:$B$11,SUMIF($B$6:B53,G54&amp;W54,$C$6:C53)+IF(AI54,10,IF(AJ54,1,0)))=1,FALSE,AK54)</f>
        <v>0</v>
      </c>
      <c r="AV54" t="b">
        <f t="shared" ref="AV54:AV60" ca="1" si="80">IF(AND(X54,OR(R54="",Q54="")),TRUE,FALSE)</f>
        <v>0</v>
      </c>
      <c r="AW54" t="b">
        <f t="shared" ref="AW54:AW60" ca="1" si="81">NOT(AH54)</f>
        <v>0</v>
      </c>
      <c r="AX54" t="b">
        <f t="shared" ref="AX54:AX60" si="82">IF(AND(AK54,S54=""),TRUE,FALSE)</f>
        <v>0</v>
      </c>
      <c r="AY54" t="b">
        <f t="shared" ref="AY54:AY60" si="83">IF(AND(AK54,T54=""),TRUE,FALSE)</f>
        <v>0</v>
      </c>
      <c r="AZ54" t="b">
        <f t="shared" ref="AZ54:AZ60" si="84">IF(ISERROR(DAY(T54)),TRUE,FALSE)</f>
        <v>0</v>
      </c>
      <c r="BA54" t="b">
        <f>IF(AND(設定!$B$2&lt;=T54,T54&lt;=設定!$B$3),FALSE,AK54)</f>
        <v>0</v>
      </c>
      <c r="BC54">
        <f t="shared" ca="1" si="4"/>
        <v>0</v>
      </c>
      <c r="BD54">
        <f t="shared" si="28"/>
        <v>49</v>
      </c>
      <c r="BE54" t="str">
        <f t="shared" si="29"/>
        <v/>
      </c>
      <c r="BF54">
        <f>IF(BG54&lt;&gt;"",MAX($BF$6:BF53)+1,0)</f>
        <v>0</v>
      </c>
      <c r="BG54" t="str">
        <f>IF(BE54&lt;&gt;"",IF(COUNTIF($BE$6:BE53,BE54)&gt;0,"",BE54),"")</f>
        <v/>
      </c>
      <c r="BH54" t="str">
        <f t="shared" si="30"/>
        <v/>
      </c>
      <c r="BI54">
        <f>IF(BJ54&lt;&gt;"",MAX($BI$6:BI53)+1,0)</f>
        <v>0</v>
      </c>
      <c r="BJ54" t="str">
        <f>IF(BH54&lt;&gt;"",IF(COUNTIF($BE$6:BH53,BH54)&gt;0,"",BH54),"")</f>
        <v/>
      </c>
    </row>
    <row r="55" spans="1:62" ht="16.5" customHeight="1">
      <c r="A55" t="str">
        <f t="shared" si="5"/>
        <v/>
      </c>
      <c r="B55" t="str">
        <f t="shared" si="62"/>
        <v/>
      </c>
      <c r="C55">
        <f t="shared" ca="1" si="61"/>
        <v>0</v>
      </c>
      <c r="D55" t="str">
        <f t="shared" si="7"/>
        <v/>
      </c>
      <c r="E55">
        <f>IF(B55="",0,LARGE($E$5:E54,1)+1)</f>
        <v>0</v>
      </c>
      <c r="F55" s="44"/>
      <c r="G55" s="45"/>
      <c r="H55" s="7" t="str">
        <f>IF(AND(F55="",G55=""),"",VLOOKUP(学校情報!$B$5&amp;F55&amp;G55,選手データ!$A:$H,4,FALSE))</f>
        <v/>
      </c>
      <c r="I55" s="7" t="str">
        <f>IF(AND(F55="",G55=""),"",VLOOKUP(学校情報!$B$5&amp;F55&amp;G55,選手データ!$A:$H,5,FALSE))</f>
        <v/>
      </c>
      <c r="J55" s="8" t="str">
        <f>IF(AND(F55="",G55=""),"",VLOOKUP(学校情報!$B$5&amp;F55&amp;G55,選手データ!$A:$H,6,FALSE))</f>
        <v/>
      </c>
      <c r="K55" s="32" t="str">
        <f>IF(AND(F55="",G55=""),"",VLOOKUP(学校情報!$B$5&amp;F55&amp;G55,選手データ!$A:$H,8,FALSE))</f>
        <v/>
      </c>
      <c r="L55" s="7" t="str">
        <f>IF(AND(F55="",G55=""),"",VLOOKUP(学校情報!$B$5&amp;F55&amp;G55,選手データ!$A:$I,9,FALSE))</f>
        <v/>
      </c>
      <c r="M55" s="44"/>
      <c r="N55" s="46"/>
      <c r="O55" s="47"/>
      <c r="P55" s="7" t="str">
        <f t="shared" ca="1" si="63"/>
        <v/>
      </c>
      <c r="Q55" s="46"/>
      <c r="R55" s="48"/>
      <c r="S55" s="45"/>
      <c r="T55" s="49"/>
      <c r="U55" s="8" t="str">
        <f t="shared" ca="1" si="64"/>
        <v/>
      </c>
      <c r="V55" s="8" t="str">
        <f t="shared" si="65"/>
        <v/>
      </c>
      <c r="W55" s="4">
        <f t="shared" si="66"/>
        <v>0</v>
      </c>
      <c r="X55" t="b">
        <f ca="1">IF(M55="",FALSE,VLOOKUP(M55,OFFSET(設定!$D$2:$I$25,0,AA55),2,FALSE))</f>
        <v>0</v>
      </c>
      <c r="Y55" t="str">
        <f ca="1">IF(M55="","",VLOOKUP(M55,OFFSET(設定!$D$2:$I$25,0,AA55),3,FALSE))</f>
        <v/>
      </c>
      <c r="Z55" t="b">
        <f ca="1">IF(M55="",FALSE,VLOOKUP(M55,OFFSET(設定!$D$2:$I$25,0,AA55),4,FALSE))</f>
        <v>0</v>
      </c>
      <c r="AA55">
        <f t="shared" si="9"/>
        <v>7</v>
      </c>
      <c r="AB55" s="1" t="str">
        <f ca="1">IF(M55="","",IF(AND(Z55,N55="〇"),IF(VLOOKUP(M55,OFFSET(設定!$D$2:$I$25,0,AA55),5,FALSE)="-","-",LEFT(VLOOKUP(M55,OFFSET(設定!$D$2:$I$25,0,AA55),5,FALSE),INT(LEN(VLOOKUP(M55,OFFSET(設定!$D$2:$I$25,0,AA55),5,FALSE))-1))),IF(VLOOKUP(M55,OFFSET(設定!$D$2:$I$25,0,AA55),5,FALSE)="-","-",INT(VLOOKUP(M55,OFFSET(設定!$D$2:$I$25,0,AA55),5,FALSE)))))</f>
        <v/>
      </c>
      <c r="AC55" s="1" t="str">
        <f ca="1">IF(M55="","",IF(AND(Z55,N55="〇"),IF(VLOOKUP(M55,OFFSET(設定!$D$2:$I$25,0,AA55),6,FALSE)="-","-",LEFT(VLOOKUP(M55,OFFSET(設定!$D$2:$I$25,0,AA55),6,FALSE),INT(LEN(VLOOKUP(M55,OFFSET(設定!$D$2:$I$25,0,AA55),6,FALSE))-1))),IF(VLOOKUP(M55,OFFSET(設定!$D$2:$I$25,0,AA55),6,FALSE)="-","-",INT(VLOOKUP(M55,OFFSET(設定!$D$2:$I$25,0,AA55),6,FALSE)))))</f>
        <v/>
      </c>
      <c r="AD55">
        <f t="shared" si="10"/>
        <v>2</v>
      </c>
      <c r="AE55" t="str">
        <f t="shared" ca="1" si="67"/>
        <v/>
      </c>
      <c r="AF55" t="str">
        <f t="shared" ca="1" si="68"/>
        <v/>
      </c>
      <c r="AG55" t="str">
        <f t="shared" ca="1" si="69"/>
        <v/>
      </c>
      <c r="AH55" t="b">
        <f t="shared" ca="1" si="70"/>
        <v>1</v>
      </c>
      <c r="AI55" t="b">
        <f t="shared" ca="1" si="71"/>
        <v>0</v>
      </c>
      <c r="AJ55" t="b">
        <f t="shared" ca="1" si="72"/>
        <v>0</v>
      </c>
      <c r="AK55" t="b">
        <f t="shared" si="73"/>
        <v>0</v>
      </c>
      <c r="AL55" t="b">
        <f t="shared" si="74"/>
        <v>0</v>
      </c>
      <c r="AM55" t="b">
        <f t="shared" si="75"/>
        <v>0</v>
      </c>
      <c r="AN55" t="b">
        <f t="shared" si="37"/>
        <v>0</v>
      </c>
      <c r="AO55" t="b">
        <f>IF(COUNTIF($D$6:D54,F55&amp;G55&amp;W55)&gt;0,AK55,FALSE)</f>
        <v>0</v>
      </c>
      <c r="AP55" t="b">
        <f t="shared" ca="1" si="19"/>
        <v>0</v>
      </c>
      <c r="AQ55" t="b">
        <f t="shared" si="76"/>
        <v>0</v>
      </c>
      <c r="AR55" t="b">
        <f t="shared" si="77"/>
        <v>0</v>
      </c>
      <c r="AS55" t="b">
        <f t="shared" ca="1" si="78"/>
        <v>0</v>
      </c>
      <c r="AT55" t="b">
        <f t="shared" ca="1" si="79"/>
        <v>0</v>
      </c>
      <c r="AU55" t="b">
        <f ca="1">IF(COUNTIF(設定!$B$6:$B$11,SUMIF($B$6:B54,G55&amp;W55,$C$6:C54)+IF(AI55,10,IF(AJ55,1,0)))=1,FALSE,AK55)</f>
        <v>0</v>
      </c>
      <c r="AV55" t="b">
        <f t="shared" ca="1" si="80"/>
        <v>0</v>
      </c>
      <c r="AW55" t="b">
        <f t="shared" ca="1" si="81"/>
        <v>0</v>
      </c>
      <c r="AX55" t="b">
        <f t="shared" si="82"/>
        <v>0</v>
      </c>
      <c r="AY55" t="b">
        <f t="shared" si="83"/>
        <v>0</v>
      </c>
      <c r="AZ55" t="b">
        <f t="shared" si="84"/>
        <v>0</v>
      </c>
      <c r="BA55" t="b">
        <f>IF(AND(設定!$B$2&lt;=T55,T55&lt;=設定!$B$3),FALSE,AK55)</f>
        <v>0</v>
      </c>
      <c r="BC55">
        <f t="shared" ca="1" si="4"/>
        <v>0</v>
      </c>
      <c r="BD55">
        <f t="shared" si="28"/>
        <v>50</v>
      </c>
      <c r="BE55" t="str">
        <f t="shared" si="29"/>
        <v/>
      </c>
      <c r="BF55">
        <f>IF(BG55&lt;&gt;"",MAX($BF$6:BF54)+1,0)</f>
        <v>0</v>
      </c>
      <c r="BG55" t="str">
        <f>IF(BE55&lt;&gt;"",IF(COUNTIF($BE$6:BE54,BE55)&gt;0,"",BE55),"")</f>
        <v/>
      </c>
      <c r="BH55" t="str">
        <f t="shared" si="30"/>
        <v/>
      </c>
      <c r="BI55">
        <f>IF(BJ55&lt;&gt;"",MAX($BI$6:BI54)+1,0)</f>
        <v>0</v>
      </c>
      <c r="BJ55" t="str">
        <f>IF(BH55&lt;&gt;"",IF(COUNTIF($BE$6:BH54,BH55)&gt;0,"",BH55),"")</f>
        <v/>
      </c>
    </row>
    <row r="56" spans="1:62" ht="16.5" customHeight="1">
      <c r="A56" t="str">
        <f t="shared" si="5"/>
        <v/>
      </c>
      <c r="B56" t="str">
        <f t="shared" si="62"/>
        <v/>
      </c>
      <c r="C56">
        <f t="shared" ca="1" si="61"/>
        <v>0</v>
      </c>
      <c r="D56" t="str">
        <f t="shared" si="7"/>
        <v/>
      </c>
      <c r="E56">
        <f>IF(B56="",0,LARGE($E$5:E55,1)+1)</f>
        <v>0</v>
      </c>
      <c r="F56" s="44"/>
      <c r="G56" s="45"/>
      <c r="H56" s="7" t="str">
        <f>IF(AND(F56="",G56=""),"",VLOOKUP(学校情報!$B$5&amp;F56&amp;G56,選手データ!$A:$H,4,FALSE))</f>
        <v/>
      </c>
      <c r="I56" s="7" t="str">
        <f>IF(AND(F56="",G56=""),"",VLOOKUP(学校情報!$B$5&amp;F56&amp;G56,選手データ!$A:$H,5,FALSE))</f>
        <v/>
      </c>
      <c r="J56" s="8" t="str">
        <f>IF(AND(F56="",G56=""),"",VLOOKUP(学校情報!$B$5&amp;F56&amp;G56,選手データ!$A:$H,6,FALSE))</f>
        <v/>
      </c>
      <c r="K56" s="32" t="str">
        <f>IF(AND(F56="",G56=""),"",VLOOKUP(学校情報!$B$5&amp;F56&amp;G56,選手データ!$A:$H,8,FALSE))</f>
        <v/>
      </c>
      <c r="L56" s="7" t="str">
        <f>IF(AND(F56="",G56=""),"",VLOOKUP(学校情報!$B$5&amp;F56&amp;G56,選手データ!$A:$I,9,FALSE))</f>
        <v/>
      </c>
      <c r="M56" s="44"/>
      <c r="N56" s="46"/>
      <c r="O56" s="47"/>
      <c r="P56" s="7" t="str">
        <f t="shared" ca="1" si="63"/>
        <v/>
      </c>
      <c r="Q56" s="46"/>
      <c r="R56" s="48"/>
      <c r="S56" s="45"/>
      <c r="T56" s="49"/>
      <c r="U56" s="8" t="str">
        <f t="shared" ca="1" si="64"/>
        <v/>
      </c>
      <c r="V56" s="8" t="str">
        <f t="shared" si="65"/>
        <v/>
      </c>
      <c r="W56" s="4">
        <f t="shared" si="66"/>
        <v>0</v>
      </c>
      <c r="X56" t="b">
        <f ca="1">IF(M56="",FALSE,VLOOKUP(M56,OFFSET(設定!$D$2:$I$25,0,AA56),2,FALSE))</f>
        <v>0</v>
      </c>
      <c r="Y56" t="str">
        <f ca="1">IF(M56="","",VLOOKUP(M56,OFFSET(設定!$D$2:$I$25,0,AA56),3,FALSE))</f>
        <v/>
      </c>
      <c r="Z56" t="b">
        <f ca="1">IF(M56="",FALSE,VLOOKUP(M56,OFFSET(設定!$D$2:$I$25,0,AA56),4,FALSE))</f>
        <v>0</v>
      </c>
      <c r="AA56">
        <f t="shared" si="9"/>
        <v>7</v>
      </c>
      <c r="AB56" s="1" t="str">
        <f ca="1">IF(M56="","",IF(AND(Z56,N56="〇"),IF(VLOOKUP(M56,OFFSET(設定!$D$2:$I$25,0,AA56),5,FALSE)="-","-",LEFT(VLOOKUP(M56,OFFSET(設定!$D$2:$I$25,0,AA56),5,FALSE),INT(LEN(VLOOKUP(M56,OFFSET(設定!$D$2:$I$25,0,AA56),5,FALSE))-1))),IF(VLOOKUP(M56,OFFSET(設定!$D$2:$I$25,0,AA56),5,FALSE)="-","-",INT(VLOOKUP(M56,OFFSET(設定!$D$2:$I$25,0,AA56),5,FALSE)))))</f>
        <v/>
      </c>
      <c r="AC56" s="1" t="str">
        <f ca="1">IF(M56="","",IF(AND(Z56,N56="〇"),IF(VLOOKUP(M56,OFFSET(設定!$D$2:$I$25,0,AA56),6,FALSE)="-","-",LEFT(VLOOKUP(M56,OFFSET(設定!$D$2:$I$25,0,AA56),6,FALSE),INT(LEN(VLOOKUP(M56,OFFSET(設定!$D$2:$I$25,0,AA56),6,FALSE))-1))),IF(VLOOKUP(M56,OFFSET(設定!$D$2:$I$25,0,AA56),6,FALSE)="-","-",INT(VLOOKUP(M56,OFFSET(設定!$D$2:$I$25,0,AA56),6,FALSE)))))</f>
        <v/>
      </c>
      <c r="AD56">
        <f t="shared" si="10"/>
        <v>2</v>
      </c>
      <c r="AE56" t="str">
        <f t="shared" ca="1" si="67"/>
        <v/>
      </c>
      <c r="AF56" t="str">
        <f t="shared" ca="1" si="68"/>
        <v/>
      </c>
      <c r="AG56" t="str">
        <f t="shared" ca="1" si="69"/>
        <v/>
      </c>
      <c r="AH56" t="b">
        <f t="shared" ca="1" si="70"/>
        <v>1</v>
      </c>
      <c r="AI56" t="b">
        <f t="shared" ca="1" si="71"/>
        <v>0</v>
      </c>
      <c r="AJ56" t="b">
        <f t="shared" ca="1" si="72"/>
        <v>0</v>
      </c>
      <c r="AK56" t="b">
        <f t="shared" si="73"/>
        <v>0</v>
      </c>
      <c r="AL56" t="b">
        <f t="shared" si="74"/>
        <v>0</v>
      </c>
      <c r="AM56" t="b">
        <f t="shared" si="75"/>
        <v>0</v>
      </c>
      <c r="AN56" t="b">
        <f t="shared" si="37"/>
        <v>0</v>
      </c>
      <c r="AO56" t="b">
        <f>IF(COUNTIF($D$6:D55,F56&amp;G56&amp;W56)&gt;0,AK56,FALSE)</f>
        <v>0</v>
      </c>
      <c r="AP56" t="b">
        <f t="shared" ca="1" si="19"/>
        <v>0</v>
      </c>
      <c r="AQ56" t="b">
        <f t="shared" si="76"/>
        <v>0</v>
      </c>
      <c r="AR56" t="b">
        <f t="shared" si="77"/>
        <v>0</v>
      </c>
      <c r="AS56" t="b">
        <f t="shared" ca="1" si="78"/>
        <v>0</v>
      </c>
      <c r="AT56" t="b">
        <f t="shared" ca="1" si="79"/>
        <v>0</v>
      </c>
      <c r="AU56" t="b">
        <f ca="1">IF(COUNTIF(設定!$B$6:$B$11,SUMIF($B$6:B55,G56&amp;W56,$C$6:C55)+IF(AI56,10,IF(AJ56,1,0)))=1,FALSE,AK56)</f>
        <v>0</v>
      </c>
      <c r="AV56" t="b">
        <f t="shared" ca="1" si="80"/>
        <v>0</v>
      </c>
      <c r="AW56" t="b">
        <f t="shared" ca="1" si="81"/>
        <v>0</v>
      </c>
      <c r="AX56" t="b">
        <f t="shared" si="82"/>
        <v>0</v>
      </c>
      <c r="AY56" t="b">
        <f t="shared" si="83"/>
        <v>0</v>
      </c>
      <c r="AZ56" t="b">
        <f t="shared" si="84"/>
        <v>0</v>
      </c>
      <c r="BA56" t="b">
        <f>IF(AND(設定!$B$2&lt;=T56,T56&lt;=設定!$B$3),FALSE,AK56)</f>
        <v>0</v>
      </c>
      <c r="BC56">
        <f t="shared" ca="1" si="4"/>
        <v>0</v>
      </c>
      <c r="BD56">
        <f t="shared" si="28"/>
        <v>51</v>
      </c>
      <c r="BE56" t="str">
        <f t="shared" si="29"/>
        <v/>
      </c>
      <c r="BF56">
        <f>IF(BG56&lt;&gt;"",MAX($BF$6:BF55)+1,0)</f>
        <v>0</v>
      </c>
      <c r="BG56" t="str">
        <f>IF(BE56&lt;&gt;"",IF(COUNTIF($BE$6:BE55,BE56)&gt;0,"",BE56),"")</f>
        <v/>
      </c>
      <c r="BH56" t="str">
        <f t="shared" si="30"/>
        <v/>
      </c>
      <c r="BI56">
        <f>IF(BJ56&lt;&gt;"",MAX($BI$6:BI55)+1,0)</f>
        <v>0</v>
      </c>
      <c r="BJ56" t="str">
        <f>IF(BH56&lt;&gt;"",IF(COUNTIF($BE$6:BH55,BH56)&gt;0,"",BH56),"")</f>
        <v/>
      </c>
    </row>
    <row r="57" spans="1:62" ht="16.5" customHeight="1">
      <c r="A57" t="str">
        <f t="shared" si="5"/>
        <v/>
      </c>
      <c r="B57" t="str">
        <f t="shared" si="62"/>
        <v/>
      </c>
      <c r="C57">
        <f t="shared" ca="1" si="61"/>
        <v>0</v>
      </c>
      <c r="D57" t="str">
        <f t="shared" si="7"/>
        <v/>
      </c>
      <c r="E57">
        <f>IF(B57="",0,LARGE($E$5:E56,1)+1)</f>
        <v>0</v>
      </c>
      <c r="F57" s="44"/>
      <c r="G57" s="45"/>
      <c r="H57" s="7" t="str">
        <f>IF(AND(F57="",G57=""),"",VLOOKUP(学校情報!$B$5&amp;F57&amp;G57,選手データ!$A:$H,4,FALSE))</f>
        <v/>
      </c>
      <c r="I57" s="7" t="str">
        <f>IF(AND(F57="",G57=""),"",VLOOKUP(学校情報!$B$5&amp;F57&amp;G57,選手データ!$A:$H,5,FALSE))</f>
        <v/>
      </c>
      <c r="J57" s="8" t="str">
        <f>IF(AND(F57="",G57=""),"",VLOOKUP(学校情報!$B$5&amp;F57&amp;G57,選手データ!$A:$H,6,FALSE))</f>
        <v/>
      </c>
      <c r="K57" s="32" t="str">
        <f>IF(AND(F57="",G57=""),"",VLOOKUP(学校情報!$B$5&amp;F57&amp;G57,選手データ!$A:$H,8,FALSE))</f>
        <v/>
      </c>
      <c r="L57" s="7" t="str">
        <f>IF(AND(F57="",G57=""),"",VLOOKUP(学校情報!$B$5&amp;F57&amp;G57,選手データ!$A:$I,9,FALSE))</f>
        <v/>
      </c>
      <c r="M57" s="44"/>
      <c r="N57" s="46"/>
      <c r="O57" s="47"/>
      <c r="P57" s="7" t="str">
        <f t="shared" ca="1" si="63"/>
        <v/>
      </c>
      <c r="Q57" s="46"/>
      <c r="R57" s="48"/>
      <c r="S57" s="45"/>
      <c r="T57" s="49"/>
      <c r="U57" s="8" t="str">
        <f t="shared" ca="1" si="64"/>
        <v/>
      </c>
      <c r="V57" s="8" t="str">
        <f t="shared" si="65"/>
        <v/>
      </c>
      <c r="W57" s="4">
        <f t="shared" si="66"/>
        <v>0</v>
      </c>
      <c r="X57" t="b">
        <f ca="1">IF(M57="",FALSE,VLOOKUP(M57,OFFSET(設定!$D$2:$I$25,0,AA57),2,FALSE))</f>
        <v>0</v>
      </c>
      <c r="Y57" t="str">
        <f ca="1">IF(M57="","",VLOOKUP(M57,OFFSET(設定!$D$2:$I$25,0,AA57),3,FALSE))</f>
        <v/>
      </c>
      <c r="Z57" t="b">
        <f ca="1">IF(M57="",FALSE,VLOOKUP(M57,OFFSET(設定!$D$2:$I$25,0,AA57),4,FALSE))</f>
        <v>0</v>
      </c>
      <c r="AA57">
        <f t="shared" si="9"/>
        <v>7</v>
      </c>
      <c r="AB57" s="1" t="str">
        <f ca="1">IF(M57="","",IF(AND(Z57,N57="〇"),IF(VLOOKUP(M57,OFFSET(設定!$D$2:$I$25,0,AA57),5,FALSE)="-","-",LEFT(VLOOKUP(M57,OFFSET(設定!$D$2:$I$25,0,AA57),5,FALSE),INT(LEN(VLOOKUP(M57,OFFSET(設定!$D$2:$I$25,0,AA57),5,FALSE))-1))),IF(VLOOKUP(M57,OFFSET(設定!$D$2:$I$25,0,AA57),5,FALSE)="-","-",INT(VLOOKUP(M57,OFFSET(設定!$D$2:$I$25,0,AA57),5,FALSE)))))</f>
        <v/>
      </c>
      <c r="AC57" s="1" t="str">
        <f ca="1">IF(M57="","",IF(AND(Z57,N57="〇"),IF(VLOOKUP(M57,OFFSET(設定!$D$2:$I$25,0,AA57),6,FALSE)="-","-",LEFT(VLOOKUP(M57,OFFSET(設定!$D$2:$I$25,0,AA57),6,FALSE),INT(LEN(VLOOKUP(M57,OFFSET(設定!$D$2:$I$25,0,AA57),6,FALSE))-1))),IF(VLOOKUP(M57,OFFSET(設定!$D$2:$I$25,0,AA57),6,FALSE)="-","-",INT(VLOOKUP(M57,OFFSET(設定!$D$2:$I$25,0,AA57),6,FALSE)))))</f>
        <v/>
      </c>
      <c r="AD57">
        <f t="shared" si="10"/>
        <v>2</v>
      </c>
      <c r="AE57" t="str">
        <f t="shared" ca="1" si="67"/>
        <v/>
      </c>
      <c r="AF57" t="str">
        <f t="shared" ca="1" si="68"/>
        <v/>
      </c>
      <c r="AG57" t="str">
        <f t="shared" ca="1" si="69"/>
        <v/>
      </c>
      <c r="AH57" t="b">
        <f t="shared" ca="1" si="70"/>
        <v>1</v>
      </c>
      <c r="AI57" t="b">
        <f t="shared" ca="1" si="71"/>
        <v>0</v>
      </c>
      <c r="AJ57" t="b">
        <f t="shared" ca="1" si="72"/>
        <v>0</v>
      </c>
      <c r="AK57" t="b">
        <f t="shared" si="73"/>
        <v>0</v>
      </c>
      <c r="AL57" t="b">
        <f t="shared" si="74"/>
        <v>0</v>
      </c>
      <c r="AM57" t="b">
        <f t="shared" si="75"/>
        <v>0</v>
      </c>
      <c r="AN57" t="b">
        <f t="shared" si="37"/>
        <v>0</v>
      </c>
      <c r="AO57" t="b">
        <f>IF(COUNTIF($D$6:D56,F57&amp;G57&amp;W57)&gt;0,AK57,FALSE)</f>
        <v>0</v>
      </c>
      <c r="AP57" t="b">
        <f t="shared" ca="1" si="19"/>
        <v>0</v>
      </c>
      <c r="AQ57" t="b">
        <f t="shared" si="76"/>
        <v>0</v>
      </c>
      <c r="AR57" t="b">
        <f t="shared" si="77"/>
        <v>0</v>
      </c>
      <c r="AS57" t="b">
        <f t="shared" ca="1" si="78"/>
        <v>0</v>
      </c>
      <c r="AT57" t="b">
        <f t="shared" ca="1" si="79"/>
        <v>0</v>
      </c>
      <c r="AU57" t="b">
        <f ca="1">IF(COUNTIF(設定!$B$6:$B$11,SUMIF($B$6:B56,G57&amp;W57,$C$6:C56)+IF(AI57,10,IF(AJ57,1,0)))=1,FALSE,AK57)</f>
        <v>0</v>
      </c>
      <c r="AV57" t="b">
        <f t="shared" ca="1" si="80"/>
        <v>0</v>
      </c>
      <c r="AW57" t="b">
        <f t="shared" ca="1" si="81"/>
        <v>0</v>
      </c>
      <c r="AX57" t="b">
        <f t="shared" si="82"/>
        <v>0</v>
      </c>
      <c r="AY57" t="b">
        <f t="shared" si="83"/>
        <v>0</v>
      </c>
      <c r="AZ57" t="b">
        <f t="shared" si="84"/>
        <v>0</v>
      </c>
      <c r="BA57" t="b">
        <f>IF(AND(設定!$B$2&lt;=T57,T57&lt;=設定!$B$3),FALSE,AK57)</f>
        <v>0</v>
      </c>
      <c r="BC57">
        <f t="shared" ca="1" si="4"/>
        <v>0</v>
      </c>
      <c r="BD57">
        <f t="shared" si="28"/>
        <v>52</v>
      </c>
      <c r="BE57" t="str">
        <f t="shared" si="29"/>
        <v/>
      </c>
      <c r="BF57">
        <f>IF(BG57&lt;&gt;"",MAX($BF$6:BF56)+1,0)</f>
        <v>0</v>
      </c>
      <c r="BG57" t="str">
        <f>IF(BE57&lt;&gt;"",IF(COUNTIF($BE$6:BE56,BE57)&gt;0,"",BE57),"")</f>
        <v/>
      </c>
      <c r="BH57" t="str">
        <f t="shared" si="30"/>
        <v/>
      </c>
      <c r="BI57">
        <f>IF(BJ57&lt;&gt;"",MAX($BI$6:BI56)+1,0)</f>
        <v>0</v>
      </c>
      <c r="BJ57" t="str">
        <f>IF(BH57&lt;&gt;"",IF(COUNTIF($BE$6:BH56,BH57)&gt;0,"",BH57),"")</f>
        <v/>
      </c>
    </row>
    <row r="58" spans="1:62" ht="16.5" customHeight="1">
      <c r="A58" t="str">
        <f t="shared" si="5"/>
        <v/>
      </c>
      <c r="B58" t="str">
        <f t="shared" si="62"/>
        <v/>
      </c>
      <c r="C58">
        <f t="shared" ca="1" si="61"/>
        <v>0</v>
      </c>
      <c r="D58" t="str">
        <f t="shared" si="7"/>
        <v/>
      </c>
      <c r="E58">
        <f>IF(B58="",0,LARGE($E$5:E57,1)+1)</f>
        <v>0</v>
      </c>
      <c r="F58" s="44"/>
      <c r="G58" s="45"/>
      <c r="H58" s="7" t="str">
        <f>IF(AND(F58="",G58=""),"",VLOOKUP(学校情報!$B$5&amp;F58&amp;G58,選手データ!$A:$H,4,FALSE))</f>
        <v/>
      </c>
      <c r="I58" s="7" t="str">
        <f>IF(AND(F58="",G58=""),"",VLOOKUP(学校情報!$B$5&amp;F58&amp;G58,選手データ!$A:$H,5,FALSE))</f>
        <v/>
      </c>
      <c r="J58" s="8" t="str">
        <f>IF(AND(F58="",G58=""),"",VLOOKUP(学校情報!$B$5&amp;F58&amp;G58,選手データ!$A:$H,6,FALSE))</f>
        <v/>
      </c>
      <c r="K58" s="32" t="str">
        <f>IF(AND(F58="",G58=""),"",VLOOKUP(学校情報!$B$5&amp;F58&amp;G58,選手データ!$A:$H,8,FALSE))</f>
        <v/>
      </c>
      <c r="L58" s="7" t="str">
        <f>IF(AND(F58="",G58=""),"",VLOOKUP(学校情報!$B$5&amp;F58&amp;G58,選手データ!$A:$I,9,FALSE))</f>
        <v/>
      </c>
      <c r="M58" s="44"/>
      <c r="N58" s="46"/>
      <c r="O58" s="47"/>
      <c r="P58" s="7" t="str">
        <f t="shared" ca="1" si="63"/>
        <v/>
      </c>
      <c r="Q58" s="46"/>
      <c r="R58" s="48"/>
      <c r="S58" s="45"/>
      <c r="T58" s="49"/>
      <c r="U58" s="8" t="str">
        <f t="shared" ca="1" si="64"/>
        <v/>
      </c>
      <c r="V58" s="8" t="str">
        <f t="shared" si="65"/>
        <v/>
      </c>
      <c r="W58" s="4">
        <f t="shared" si="66"/>
        <v>0</v>
      </c>
      <c r="X58" t="b">
        <f ca="1">IF(M58="",FALSE,VLOOKUP(M58,OFFSET(設定!$D$2:$I$25,0,AA58),2,FALSE))</f>
        <v>0</v>
      </c>
      <c r="Y58" t="str">
        <f ca="1">IF(M58="","",VLOOKUP(M58,OFFSET(設定!$D$2:$I$25,0,AA58),3,FALSE))</f>
        <v/>
      </c>
      <c r="Z58" t="b">
        <f ca="1">IF(M58="",FALSE,VLOOKUP(M58,OFFSET(設定!$D$2:$I$25,0,AA58),4,FALSE))</f>
        <v>0</v>
      </c>
      <c r="AA58">
        <f t="shared" si="9"/>
        <v>7</v>
      </c>
      <c r="AB58" s="1" t="str">
        <f ca="1">IF(M58="","",IF(AND(Z58,N58="〇"),IF(VLOOKUP(M58,OFFSET(設定!$D$2:$I$25,0,AA58),5,FALSE)="-","-",LEFT(VLOOKUP(M58,OFFSET(設定!$D$2:$I$25,0,AA58),5,FALSE),INT(LEN(VLOOKUP(M58,OFFSET(設定!$D$2:$I$25,0,AA58),5,FALSE))-1))),IF(VLOOKUP(M58,OFFSET(設定!$D$2:$I$25,0,AA58),5,FALSE)="-","-",INT(VLOOKUP(M58,OFFSET(設定!$D$2:$I$25,0,AA58),5,FALSE)))))</f>
        <v/>
      </c>
      <c r="AC58" s="1" t="str">
        <f ca="1">IF(M58="","",IF(AND(Z58,N58="〇"),IF(VLOOKUP(M58,OFFSET(設定!$D$2:$I$25,0,AA58),6,FALSE)="-","-",LEFT(VLOOKUP(M58,OFFSET(設定!$D$2:$I$25,0,AA58),6,FALSE),INT(LEN(VLOOKUP(M58,OFFSET(設定!$D$2:$I$25,0,AA58),6,FALSE))-1))),IF(VLOOKUP(M58,OFFSET(設定!$D$2:$I$25,0,AA58),6,FALSE)="-","-",INT(VLOOKUP(M58,OFFSET(設定!$D$2:$I$25,0,AA58),6,FALSE)))))</f>
        <v/>
      </c>
      <c r="AD58">
        <f t="shared" si="10"/>
        <v>2</v>
      </c>
      <c r="AE58" t="str">
        <f t="shared" ca="1" si="67"/>
        <v/>
      </c>
      <c r="AF58" t="str">
        <f t="shared" ca="1" si="68"/>
        <v/>
      </c>
      <c r="AG58" t="str">
        <f t="shared" ca="1" si="69"/>
        <v/>
      </c>
      <c r="AH58" t="b">
        <f t="shared" ca="1" si="70"/>
        <v>1</v>
      </c>
      <c r="AI58" t="b">
        <f t="shared" ca="1" si="71"/>
        <v>0</v>
      </c>
      <c r="AJ58" t="b">
        <f t="shared" ca="1" si="72"/>
        <v>0</v>
      </c>
      <c r="AK58" t="b">
        <f t="shared" si="73"/>
        <v>0</v>
      </c>
      <c r="AL58" t="b">
        <f t="shared" si="74"/>
        <v>0</v>
      </c>
      <c r="AM58" t="b">
        <f t="shared" si="75"/>
        <v>0</v>
      </c>
      <c r="AN58" t="b">
        <f t="shared" si="37"/>
        <v>0</v>
      </c>
      <c r="AO58" t="b">
        <f>IF(COUNTIF($D$6:D57,F58&amp;G58&amp;W58)&gt;0,AK58,FALSE)</f>
        <v>0</v>
      </c>
      <c r="AP58" t="b">
        <f t="shared" ca="1" si="19"/>
        <v>0</v>
      </c>
      <c r="AQ58" t="b">
        <f t="shared" si="76"/>
        <v>0</v>
      </c>
      <c r="AR58" t="b">
        <f t="shared" si="77"/>
        <v>0</v>
      </c>
      <c r="AS58" t="b">
        <f t="shared" ca="1" si="78"/>
        <v>0</v>
      </c>
      <c r="AT58" t="b">
        <f t="shared" ca="1" si="79"/>
        <v>0</v>
      </c>
      <c r="AU58" t="b">
        <f ca="1">IF(COUNTIF(設定!$B$6:$B$11,SUMIF($B$6:B57,G58&amp;W58,$C$6:C57)+IF(AI58,10,IF(AJ58,1,0)))=1,FALSE,AK58)</f>
        <v>0</v>
      </c>
      <c r="AV58" t="b">
        <f t="shared" ca="1" si="80"/>
        <v>0</v>
      </c>
      <c r="AW58" t="b">
        <f t="shared" ca="1" si="81"/>
        <v>0</v>
      </c>
      <c r="AX58" t="b">
        <f t="shared" si="82"/>
        <v>0</v>
      </c>
      <c r="AY58" t="b">
        <f t="shared" si="83"/>
        <v>0</v>
      </c>
      <c r="AZ58" t="b">
        <f t="shared" si="84"/>
        <v>0</v>
      </c>
      <c r="BA58" t="b">
        <f>IF(AND(設定!$B$2&lt;=T58,T58&lt;=設定!$B$3),FALSE,AK58)</f>
        <v>0</v>
      </c>
      <c r="BC58">
        <f t="shared" ca="1" si="4"/>
        <v>0</v>
      </c>
      <c r="BD58">
        <f t="shared" si="28"/>
        <v>53</v>
      </c>
      <c r="BE58" t="str">
        <f t="shared" si="29"/>
        <v/>
      </c>
      <c r="BF58">
        <f>IF(BG58&lt;&gt;"",MAX($BF$6:BF57)+1,0)</f>
        <v>0</v>
      </c>
      <c r="BG58" t="str">
        <f>IF(BE58&lt;&gt;"",IF(COUNTIF($BE$6:BE57,BE58)&gt;0,"",BE58),"")</f>
        <v/>
      </c>
      <c r="BH58" t="str">
        <f t="shared" si="30"/>
        <v/>
      </c>
      <c r="BI58">
        <f>IF(BJ58&lt;&gt;"",MAX($BI$6:BI57)+1,0)</f>
        <v>0</v>
      </c>
      <c r="BJ58" t="str">
        <f>IF(BH58&lt;&gt;"",IF(COUNTIF($BE$6:BH57,BH58)&gt;0,"",BH58),"")</f>
        <v/>
      </c>
    </row>
    <row r="59" spans="1:62" ht="16.5" customHeight="1">
      <c r="A59" t="str">
        <f t="shared" si="5"/>
        <v/>
      </c>
      <c r="B59" t="str">
        <f t="shared" si="62"/>
        <v/>
      </c>
      <c r="C59">
        <f t="shared" ca="1" si="61"/>
        <v>0</v>
      </c>
      <c r="D59" t="str">
        <f t="shared" si="7"/>
        <v/>
      </c>
      <c r="E59">
        <f>IF(B59="",0,LARGE($E$5:E58,1)+1)</f>
        <v>0</v>
      </c>
      <c r="F59" s="44"/>
      <c r="G59" s="45"/>
      <c r="H59" s="7" t="str">
        <f>IF(AND(F59="",G59=""),"",VLOOKUP(学校情報!$B$5&amp;F59&amp;G59,選手データ!$A:$H,4,FALSE))</f>
        <v/>
      </c>
      <c r="I59" s="7" t="str">
        <f>IF(AND(F59="",G59=""),"",VLOOKUP(学校情報!$B$5&amp;F59&amp;G59,選手データ!$A:$H,5,FALSE))</f>
        <v/>
      </c>
      <c r="J59" s="8" t="str">
        <f>IF(AND(F59="",G59=""),"",VLOOKUP(学校情報!$B$5&amp;F59&amp;G59,選手データ!$A:$H,6,FALSE))</f>
        <v/>
      </c>
      <c r="K59" s="32" t="str">
        <f>IF(AND(F59="",G59=""),"",VLOOKUP(学校情報!$B$5&amp;F59&amp;G59,選手データ!$A:$H,8,FALSE))</f>
        <v/>
      </c>
      <c r="L59" s="7" t="str">
        <f>IF(AND(F59="",G59=""),"",VLOOKUP(学校情報!$B$5&amp;F59&amp;G59,選手データ!$A:$I,9,FALSE))</f>
        <v/>
      </c>
      <c r="M59" s="44"/>
      <c r="N59" s="46"/>
      <c r="O59" s="47"/>
      <c r="P59" s="7" t="str">
        <f t="shared" ca="1" si="63"/>
        <v/>
      </c>
      <c r="Q59" s="46"/>
      <c r="R59" s="48"/>
      <c r="S59" s="45"/>
      <c r="T59" s="49"/>
      <c r="U59" s="8" t="str">
        <f t="shared" ca="1" si="64"/>
        <v/>
      </c>
      <c r="V59" s="8" t="str">
        <f t="shared" si="65"/>
        <v/>
      </c>
      <c r="W59" s="4">
        <f t="shared" si="66"/>
        <v>0</v>
      </c>
      <c r="X59" t="b">
        <f ca="1">IF(M59="",FALSE,VLOOKUP(M59,OFFSET(設定!$D$2:$I$25,0,AA59),2,FALSE))</f>
        <v>0</v>
      </c>
      <c r="Y59" t="str">
        <f ca="1">IF(M59="","",VLOOKUP(M59,OFFSET(設定!$D$2:$I$25,0,AA59),3,FALSE))</f>
        <v/>
      </c>
      <c r="Z59" t="b">
        <f ca="1">IF(M59="",FALSE,VLOOKUP(M59,OFFSET(設定!$D$2:$I$25,0,AA59),4,FALSE))</f>
        <v>0</v>
      </c>
      <c r="AA59">
        <f t="shared" si="9"/>
        <v>7</v>
      </c>
      <c r="AB59" s="1" t="str">
        <f ca="1">IF(M59="","",IF(AND(Z59,N59="〇"),IF(VLOOKUP(M59,OFFSET(設定!$D$2:$I$25,0,AA59),5,FALSE)="-","-",LEFT(VLOOKUP(M59,OFFSET(設定!$D$2:$I$25,0,AA59),5,FALSE),INT(LEN(VLOOKUP(M59,OFFSET(設定!$D$2:$I$25,0,AA59),5,FALSE))-1))),IF(VLOOKUP(M59,OFFSET(設定!$D$2:$I$25,0,AA59),5,FALSE)="-","-",INT(VLOOKUP(M59,OFFSET(設定!$D$2:$I$25,0,AA59),5,FALSE)))))</f>
        <v/>
      </c>
      <c r="AC59" s="1" t="str">
        <f ca="1">IF(M59="","",IF(AND(Z59,N59="〇"),IF(VLOOKUP(M59,OFFSET(設定!$D$2:$I$25,0,AA59),6,FALSE)="-","-",LEFT(VLOOKUP(M59,OFFSET(設定!$D$2:$I$25,0,AA59),6,FALSE),INT(LEN(VLOOKUP(M59,OFFSET(設定!$D$2:$I$25,0,AA59),6,FALSE))-1))),IF(VLOOKUP(M59,OFFSET(設定!$D$2:$I$25,0,AA59),6,FALSE)="-","-",INT(VLOOKUP(M59,OFFSET(設定!$D$2:$I$25,0,AA59),6,FALSE)))))</f>
        <v/>
      </c>
      <c r="AD59">
        <f t="shared" si="10"/>
        <v>2</v>
      </c>
      <c r="AE59" t="str">
        <f t="shared" ca="1" si="67"/>
        <v/>
      </c>
      <c r="AF59" t="str">
        <f t="shared" ca="1" si="68"/>
        <v/>
      </c>
      <c r="AG59" t="str">
        <f t="shared" ca="1" si="69"/>
        <v/>
      </c>
      <c r="AH59" t="b">
        <f t="shared" ca="1" si="70"/>
        <v>1</v>
      </c>
      <c r="AI59" t="b">
        <f t="shared" ca="1" si="71"/>
        <v>0</v>
      </c>
      <c r="AJ59" t="b">
        <f t="shared" ca="1" si="72"/>
        <v>0</v>
      </c>
      <c r="AK59" t="b">
        <f t="shared" si="73"/>
        <v>0</v>
      </c>
      <c r="AL59" t="b">
        <f t="shared" si="74"/>
        <v>0</v>
      </c>
      <c r="AM59" t="b">
        <f t="shared" si="75"/>
        <v>0</v>
      </c>
      <c r="AN59" t="b">
        <f t="shared" si="37"/>
        <v>0</v>
      </c>
      <c r="AO59" t="b">
        <f>IF(COUNTIF($D$6:D58,F59&amp;G59&amp;W59)&gt;0,AK59,FALSE)</f>
        <v>0</v>
      </c>
      <c r="AP59" t="b">
        <f t="shared" ca="1" si="19"/>
        <v>0</v>
      </c>
      <c r="AQ59" t="b">
        <f t="shared" si="76"/>
        <v>0</v>
      </c>
      <c r="AR59" t="b">
        <f t="shared" si="77"/>
        <v>0</v>
      </c>
      <c r="AS59" t="b">
        <f t="shared" ca="1" si="78"/>
        <v>0</v>
      </c>
      <c r="AT59" t="b">
        <f t="shared" ca="1" si="79"/>
        <v>0</v>
      </c>
      <c r="AU59" t="b">
        <f ca="1">IF(COUNTIF(設定!$B$6:$B$11,SUMIF($B$6:B58,G59&amp;W59,$C$6:C58)+IF(AI59,10,IF(AJ59,1,0)))=1,FALSE,AK59)</f>
        <v>0</v>
      </c>
      <c r="AV59" t="b">
        <f t="shared" ca="1" si="80"/>
        <v>0</v>
      </c>
      <c r="AW59" t="b">
        <f t="shared" ca="1" si="81"/>
        <v>0</v>
      </c>
      <c r="AX59" t="b">
        <f t="shared" si="82"/>
        <v>0</v>
      </c>
      <c r="AY59" t="b">
        <f t="shared" si="83"/>
        <v>0</v>
      </c>
      <c r="AZ59" t="b">
        <f t="shared" si="84"/>
        <v>0</v>
      </c>
      <c r="BA59" t="b">
        <f>IF(AND(設定!$B$2&lt;=T59,T59&lt;=設定!$B$3),FALSE,AK59)</f>
        <v>0</v>
      </c>
      <c r="BC59">
        <f t="shared" ca="1" si="4"/>
        <v>0</v>
      </c>
      <c r="BD59">
        <f t="shared" si="28"/>
        <v>54</v>
      </c>
      <c r="BE59" t="str">
        <f t="shared" si="29"/>
        <v/>
      </c>
      <c r="BF59">
        <f>IF(BG59&lt;&gt;"",MAX($BF$6:BF58)+1,0)</f>
        <v>0</v>
      </c>
      <c r="BG59" t="str">
        <f>IF(BE59&lt;&gt;"",IF(COUNTIF($BE$6:BE58,BE59)&gt;0,"",BE59),"")</f>
        <v/>
      </c>
      <c r="BH59" t="str">
        <f t="shared" si="30"/>
        <v/>
      </c>
      <c r="BI59">
        <f>IF(BJ59&lt;&gt;"",MAX($BI$6:BI58)+1,0)</f>
        <v>0</v>
      </c>
      <c r="BJ59" t="str">
        <f>IF(BH59&lt;&gt;"",IF(COUNTIF($BE$6:BH58,BH59)&gt;0,"",BH59),"")</f>
        <v/>
      </c>
    </row>
    <row r="60" spans="1:62" ht="16.5" customHeight="1">
      <c r="A60" t="str">
        <f t="shared" si="5"/>
        <v/>
      </c>
      <c r="B60" t="str">
        <f t="shared" si="62"/>
        <v/>
      </c>
      <c r="C60">
        <f t="shared" ca="1" si="61"/>
        <v>0</v>
      </c>
      <c r="D60" t="str">
        <f t="shared" si="7"/>
        <v/>
      </c>
      <c r="E60">
        <f>IF(B60="",0,LARGE($E$5:E59,1)+1)</f>
        <v>0</v>
      </c>
      <c r="F60" s="44"/>
      <c r="G60" s="45"/>
      <c r="H60" s="7" t="str">
        <f>IF(AND(F60="",G60=""),"",VLOOKUP(学校情報!$B$5&amp;F60&amp;G60,選手データ!$A:$H,4,FALSE))</f>
        <v/>
      </c>
      <c r="I60" s="7" t="str">
        <f>IF(AND(F60="",G60=""),"",VLOOKUP(学校情報!$B$5&amp;F60&amp;G60,選手データ!$A:$H,5,FALSE))</f>
        <v/>
      </c>
      <c r="J60" s="8" t="str">
        <f>IF(AND(F60="",G60=""),"",VLOOKUP(学校情報!$B$5&amp;F60&amp;G60,選手データ!$A:$H,6,FALSE))</f>
        <v/>
      </c>
      <c r="K60" s="32" t="str">
        <f>IF(AND(F60="",G60=""),"",VLOOKUP(学校情報!$B$5&amp;F60&amp;G60,選手データ!$A:$H,8,FALSE))</f>
        <v/>
      </c>
      <c r="L60" s="7" t="str">
        <f>IF(AND(F60="",G60=""),"",VLOOKUP(学校情報!$B$5&amp;F60&amp;G60,選手データ!$A:$I,9,FALSE))</f>
        <v/>
      </c>
      <c r="M60" s="44"/>
      <c r="N60" s="46"/>
      <c r="O60" s="47"/>
      <c r="P60" s="7" t="str">
        <f t="shared" ca="1" si="63"/>
        <v/>
      </c>
      <c r="Q60" s="46"/>
      <c r="R60" s="48"/>
      <c r="S60" s="45"/>
      <c r="T60" s="49"/>
      <c r="U60" s="8" t="str">
        <f t="shared" ca="1" si="64"/>
        <v/>
      </c>
      <c r="V60" s="8" t="str">
        <f t="shared" si="65"/>
        <v/>
      </c>
      <c r="W60" s="4">
        <f t="shared" si="66"/>
        <v>0</v>
      </c>
      <c r="X60" t="b">
        <f ca="1">IF(M60="",FALSE,VLOOKUP(M60,OFFSET(設定!$D$2:$I$25,0,AA60),2,FALSE))</f>
        <v>0</v>
      </c>
      <c r="Y60" t="str">
        <f ca="1">IF(M60="","",VLOOKUP(M60,OFFSET(設定!$D$2:$I$25,0,AA60),3,FALSE))</f>
        <v/>
      </c>
      <c r="Z60" t="b">
        <f ca="1">IF(M60="",FALSE,VLOOKUP(M60,OFFSET(設定!$D$2:$I$25,0,AA60),4,FALSE))</f>
        <v>0</v>
      </c>
      <c r="AA60">
        <f t="shared" si="9"/>
        <v>7</v>
      </c>
      <c r="AB60" s="1" t="str">
        <f ca="1">IF(M60="","",IF(AND(Z60,N60="〇"),IF(VLOOKUP(M60,OFFSET(設定!$D$2:$I$25,0,AA60),5,FALSE)="-","-",LEFT(VLOOKUP(M60,OFFSET(設定!$D$2:$I$25,0,AA60),5,FALSE),INT(LEN(VLOOKUP(M60,OFFSET(設定!$D$2:$I$25,0,AA60),5,FALSE))-1))),IF(VLOOKUP(M60,OFFSET(設定!$D$2:$I$25,0,AA60),5,FALSE)="-","-",INT(VLOOKUP(M60,OFFSET(設定!$D$2:$I$25,0,AA60),5,FALSE)))))</f>
        <v/>
      </c>
      <c r="AC60" s="1" t="str">
        <f ca="1">IF(M60="","",IF(AND(Z60,N60="〇"),IF(VLOOKUP(M60,OFFSET(設定!$D$2:$I$25,0,AA60),6,FALSE)="-","-",LEFT(VLOOKUP(M60,OFFSET(設定!$D$2:$I$25,0,AA60),6,FALSE),INT(LEN(VLOOKUP(M60,OFFSET(設定!$D$2:$I$25,0,AA60),6,FALSE))-1))),IF(VLOOKUP(M60,OFFSET(設定!$D$2:$I$25,0,AA60),6,FALSE)="-","-",INT(VLOOKUP(M60,OFFSET(設定!$D$2:$I$25,0,AA60),6,FALSE)))))</f>
        <v/>
      </c>
      <c r="AD60">
        <f t="shared" si="10"/>
        <v>2</v>
      </c>
      <c r="AE60" t="str">
        <f t="shared" ca="1" si="67"/>
        <v/>
      </c>
      <c r="AF60" t="str">
        <f t="shared" ca="1" si="68"/>
        <v/>
      </c>
      <c r="AG60" t="str">
        <f t="shared" ca="1" si="69"/>
        <v/>
      </c>
      <c r="AH60" t="b">
        <f t="shared" ca="1" si="70"/>
        <v>1</v>
      </c>
      <c r="AI60" t="b">
        <f t="shared" ca="1" si="71"/>
        <v>0</v>
      </c>
      <c r="AJ60" t="b">
        <f t="shared" ca="1" si="72"/>
        <v>0</v>
      </c>
      <c r="AK60" t="b">
        <f t="shared" si="73"/>
        <v>0</v>
      </c>
      <c r="AL60" t="b">
        <f t="shared" si="74"/>
        <v>0</v>
      </c>
      <c r="AM60" t="b">
        <f t="shared" si="75"/>
        <v>0</v>
      </c>
      <c r="AN60" t="b">
        <f t="shared" si="37"/>
        <v>0</v>
      </c>
      <c r="AO60" t="b">
        <f>IF(COUNTIF($D$6:D59,F60&amp;G60&amp;W60)&gt;0,AK60,FALSE)</f>
        <v>0</v>
      </c>
      <c r="AP60" t="b">
        <f t="shared" ca="1" si="19"/>
        <v>0</v>
      </c>
      <c r="AQ60" t="b">
        <f t="shared" si="76"/>
        <v>0</v>
      </c>
      <c r="AR60" t="b">
        <f t="shared" si="77"/>
        <v>0</v>
      </c>
      <c r="AS60" t="b">
        <f t="shared" ca="1" si="78"/>
        <v>0</v>
      </c>
      <c r="AT60" t="b">
        <f t="shared" ca="1" si="79"/>
        <v>0</v>
      </c>
      <c r="AU60" t="b">
        <f ca="1">IF(COUNTIF(設定!$B$6:$B$11,SUMIF($B$6:B59,G60&amp;W60,$C$6:C59)+IF(AI60,10,IF(AJ60,1,0)))=1,FALSE,AK60)</f>
        <v>0</v>
      </c>
      <c r="AV60" t="b">
        <f t="shared" ca="1" si="80"/>
        <v>0</v>
      </c>
      <c r="AW60" t="b">
        <f t="shared" ca="1" si="81"/>
        <v>0</v>
      </c>
      <c r="AX60" t="b">
        <f t="shared" si="82"/>
        <v>0</v>
      </c>
      <c r="AY60" t="b">
        <f t="shared" si="83"/>
        <v>0</v>
      </c>
      <c r="AZ60" t="b">
        <f t="shared" si="84"/>
        <v>0</v>
      </c>
      <c r="BA60" t="b">
        <f>IF(AND(設定!$B$2&lt;=T60,T60&lt;=設定!$B$3),FALSE,AK60)</f>
        <v>0</v>
      </c>
      <c r="BC60">
        <f t="shared" ca="1" si="4"/>
        <v>0</v>
      </c>
      <c r="BD60">
        <f t="shared" si="28"/>
        <v>55</v>
      </c>
      <c r="BE60" t="str">
        <f t="shared" si="29"/>
        <v/>
      </c>
      <c r="BF60">
        <f>IF(BG60&lt;&gt;"",MAX($BF$6:BF59)+1,0)</f>
        <v>0</v>
      </c>
      <c r="BG60" t="str">
        <f>IF(BE60&lt;&gt;"",IF(COUNTIF($BE$6:BE59,BE60)&gt;0,"",BE60),"")</f>
        <v/>
      </c>
      <c r="BH60" t="str">
        <f t="shared" si="30"/>
        <v/>
      </c>
      <c r="BI60">
        <f>IF(BJ60&lt;&gt;"",MAX($BI$6:BI59)+1,0)</f>
        <v>0</v>
      </c>
      <c r="BJ60" t="str">
        <f>IF(BH60&lt;&gt;"",IF(COUNTIF($BE$6:BH59,BH60)&gt;0,"",BH60),"")</f>
        <v/>
      </c>
    </row>
    <row r="61" spans="1:62" ht="16.5" customHeight="1">
      <c r="A61" t="str">
        <f>IF(V61="〇",F61&amp;G61,"")</f>
        <v/>
      </c>
      <c r="B61" t="str">
        <f>IF(V61="〇",G61&amp;W61,"")</f>
        <v/>
      </c>
      <c r="C61">
        <f t="shared" ca="1" si="61"/>
        <v>0</v>
      </c>
      <c r="D61" t="str">
        <f>IF(V61="〇",F61&amp;G61&amp;W61,"")</f>
        <v/>
      </c>
      <c r="E61">
        <f>IF(B61="",0,LARGE($E$5:E60,1)+1)</f>
        <v>0</v>
      </c>
      <c r="F61" s="44"/>
      <c r="G61" s="45"/>
      <c r="H61" s="7" t="str">
        <f>IF(AND(F61="",G61=""),"",VLOOKUP(学校情報!$B$5&amp;F61&amp;G61,選手データ!$A:$H,4,FALSE))</f>
        <v/>
      </c>
      <c r="I61" s="7" t="str">
        <f>IF(AND(F61="",G61=""),"",VLOOKUP(学校情報!$B$5&amp;F61&amp;G61,選手データ!$A:$H,5,FALSE))</f>
        <v/>
      </c>
      <c r="J61" s="8" t="str">
        <f>IF(AND(F61="",G61=""),"",VLOOKUP(学校情報!$B$5&amp;F61&amp;G61,選手データ!$A:$H,6,FALSE))</f>
        <v/>
      </c>
      <c r="K61" s="32" t="str">
        <f>IF(AND(F61="",G61=""),"",VLOOKUP(学校情報!$B$5&amp;F61&amp;G61,選手データ!$A:$H,8,FALSE))</f>
        <v/>
      </c>
      <c r="L61" s="7" t="str">
        <f>IF(AND(F61="",G61=""),"",VLOOKUP(学校情報!$B$5&amp;F61&amp;G61,選手データ!$A:$I,9,FALSE))</f>
        <v/>
      </c>
      <c r="M61" s="44"/>
      <c r="N61" s="46"/>
      <c r="O61" s="47"/>
      <c r="P61" s="7" t="str">
        <f ca="1">AE61&amp;AF61&amp;AG61</f>
        <v/>
      </c>
      <c r="Q61" s="46"/>
      <c r="R61" s="48"/>
      <c r="S61" s="45"/>
      <c r="T61" s="49"/>
      <c r="U61" s="8" t="str">
        <f ca="1">IF(AI61,"A",IF(AJ61,"B",""))</f>
        <v/>
      </c>
      <c r="V61" s="8" t="str">
        <f>IF(AK61,IF(COUNTIF(AL61:BB61,TRUE)&gt;0,"×","〇"),"")</f>
        <v/>
      </c>
      <c r="W61" s="4">
        <f>IF(ISNUMBER(FIND("(",M61)),LEFT(M61,FIND("(",M61)-1),M61)</f>
        <v>0</v>
      </c>
      <c r="X61" t="b">
        <f ca="1">IF(M61="",FALSE,VLOOKUP(M61,OFFSET(設定!$D$2:$I$25,0,AA61),2,FALSE))</f>
        <v>0</v>
      </c>
      <c r="Y61" t="str">
        <f ca="1">IF(M61="","",VLOOKUP(M61,OFFSET(設定!$D$2:$I$25,0,AA61),3,FALSE))</f>
        <v/>
      </c>
      <c r="Z61" t="b">
        <f ca="1">IF(M61="",FALSE,VLOOKUP(M61,OFFSET(設定!$D$2:$I$25,0,AA61),4,FALSE))</f>
        <v>0</v>
      </c>
      <c r="AA61">
        <f t="shared" si="9"/>
        <v>7</v>
      </c>
      <c r="AB61" s="1" t="str">
        <f ca="1">IF(M61="","",IF(AND(Z61,N61="〇"),IF(VLOOKUP(M61,OFFSET(設定!$D$2:$I$25,0,AA61),5,FALSE)="-","-",LEFT(VLOOKUP(M61,OFFSET(設定!$D$2:$I$25,0,AA61),5,FALSE),INT(LEN(VLOOKUP(M61,OFFSET(設定!$D$2:$I$25,0,AA61),5,FALSE))-1))),IF(VLOOKUP(M61,OFFSET(設定!$D$2:$I$25,0,AA61),5,FALSE)="-","-",INT(VLOOKUP(M61,OFFSET(設定!$D$2:$I$25,0,AA61),5,FALSE)))))</f>
        <v/>
      </c>
      <c r="AC61" s="1" t="str">
        <f ca="1">IF(M61="","",IF(AND(Z61,N61="〇"),IF(VLOOKUP(M61,OFFSET(設定!$D$2:$I$25,0,AA61),6,FALSE)="-","-",LEFT(VLOOKUP(M61,OFFSET(設定!$D$2:$I$25,0,AA61),6,FALSE),INT(LEN(VLOOKUP(M61,OFFSET(設定!$D$2:$I$25,0,AA61),6,FALSE))-1))),IF(VLOOKUP(M61,OFFSET(設定!$D$2:$I$25,0,AA61),6,FALSE)="-","-",INT(VLOOKUP(M61,OFFSET(設定!$D$2:$I$25,0,AA61),6,FALSE)))))</f>
        <v/>
      </c>
      <c r="AD61">
        <f t="shared" si="10"/>
        <v>2</v>
      </c>
      <c r="AE61" t="str">
        <f ca="1">IF(Y61="秒",IF(LEN(O61)&lt;=2,"",IF(LEN(O61)&gt;=3,LEFT(O61,LEN(O61)-2)&amp;"分"&amp;RIGHT(O61,2)&amp;"秒","")),"")</f>
        <v/>
      </c>
      <c r="AF61" t="str">
        <f ca="1">IF(Y61="ミリ秒",IF(LEN(O61)&gt;AD61,IF(LEN(O61)&lt;=AD61+2,LEFT(O61,LEN(O61)-AD61)&amp;"秒"&amp;RIGHT(O61,AD61),LEFT(O61,LEN(O61)-(AD61+2))&amp;"分"&amp;MID(O61,LEN(O61)-(AD61+2)+1,2)&amp;"秒"&amp;RIGHT(O61,AD61)),""),"")</f>
        <v/>
      </c>
      <c r="AG61" t="str">
        <f ca="1">IF(Y61="ｍ",IF(LEN(O61)&gt;=3,LEFT(O61,LEN(O61)-2)&amp;"ｍ"&amp;RIGHT(O61,2),""),"")</f>
        <v/>
      </c>
      <c r="AH61" t="b">
        <f ca="1">IF(X61,IF(OR(Q61="",R61=""),FALSE,IF(INT(Q61&amp;ROUNDUP(TEXT(R61,"0.0"),0))&lt;=2,TRUE,FALSE)),TRUE)</f>
        <v>1</v>
      </c>
      <c r="AI61" t="b">
        <f ca="1">IF(AND(NOT(AR61),NOT(AS61),AE61&amp;AF61&amp;AG61&lt;&gt;"",AB61&lt;&gt;"-"),IF(Y61="ｍ",IF(INT(AB61)&lt;=INT(O61),TRUE,FALSE),IF(INT(AB61)&gt;=INT(O61),TRUE,FALSE)),FALSE)</f>
        <v>0</v>
      </c>
      <c r="AJ61" t="b">
        <f ca="1">IF(AND(NOT(AR61),NOT(AS61),AE61&amp;AF61&amp;AG61&lt;&gt;""),IF(Y61="ｍ",IF(INT(AC61)&lt;=INT(O61),TRUE,FALSE),IF(INT(AC61)&gt;=INT(O61),TRUE,FALSE)),FALSE)</f>
        <v>0</v>
      </c>
      <c r="AK61" t="b">
        <f>IF(F61&amp;G61&amp;M61&amp;O61&amp;Q61&amp;R61&amp;S61&amp;T61&lt;&gt;"",TRUE,FALSE)</f>
        <v>0</v>
      </c>
      <c r="AL61" t="b">
        <f>IF(AND(AK61,F61=""),TRUE,FALSE)</f>
        <v>0</v>
      </c>
      <c r="AM61" t="b">
        <f>IF(AND(AK61,F61&lt;&gt;"",ISNA(H61)),TRUE,FALSE)</f>
        <v>0</v>
      </c>
      <c r="AN61" t="b">
        <f>IF(M61="",AK61,FALSE)</f>
        <v>0</v>
      </c>
      <c r="AO61" t="b">
        <f>IF(COUNTIF($D$6:D60,F61&amp;G61&amp;W61)&gt;0,AK61,FALSE)</f>
        <v>0</v>
      </c>
      <c r="AP61" t="b">
        <f t="shared" ca="1" si="19"/>
        <v>0</v>
      </c>
      <c r="AQ61" t="b">
        <f>IF(AND(AK61,O61=""),TRUE,FALSE)</f>
        <v>0</v>
      </c>
      <c r="AR61" t="b">
        <f>IF(ISNUMBER(O61),FALSE,AK61)</f>
        <v>0</v>
      </c>
      <c r="AS61" t="b">
        <f ca="1">IF(Y61="ｍ",FALSE,IF(LEN(O61)&gt;=AD61+2,IF(INT(LEFT(RIGHT(O61,AD61+2),2))&gt;=60,TRUE,FALSE),FALSE))</f>
        <v>0</v>
      </c>
      <c r="AT61" t="b">
        <f ca="1">IF(AND(NOT(AI61),NOT(AJ61)),AK61,FALSE)</f>
        <v>0</v>
      </c>
      <c r="AU61" t="b">
        <f ca="1">IF(COUNTIF(設定!$B$6:$B$11,SUMIF($B$6:B60,G61&amp;W61,$C$6:C60)+IF(AI61,10,IF(AJ61,1,0)))=1,FALSE,AK61)</f>
        <v>0</v>
      </c>
      <c r="AV61" t="b">
        <f ca="1">IF(AND(X61,OR(R61="",Q61="")),TRUE,FALSE)</f>
        <v>0</v>
      </c>
      <c r="AW61" t="b">
        <f ca="1">NOT(AH61)</f>
        <v>0</v>
      </c>
      <c r="AX61" t="b">
        <f>IF(AND(AK61,S61=""),TRUE,FALSE)</f>
        <v>0</v>
      </c>
      <c r="AY61" t="b">
        <f>IF(AND(AK61,T61=""),TRUE,FALSE)</f>
        <v>0</v>
      </c>
      <c r="AZ61" t="b">
        <f>IF(ISERROR(DAY(T61)),TRUE,FALSE)</f>
        <v>0</v>
      </c>
      <c r="BA61" t="b">
        <f>IF(AND(設定!$B$2&lt;=T61,T61&lt;=設定!$B$3),FALSE,AK61)</f>
        <v>0</v>
      </c>
      <c r="BC61">
        <f ca="1">IF(AI61,10,IF(AJ61,1,0))</f>
        <v>0</v>
      </c>
      <c r="BD61">
        <f t="shared" si="28"/>
        <v>56</v>
      </c>
      <c r="BE61" t="str">
        <f t="shared" si="29"/>
        <v/>
      </c>
      <c r="BF61">
        <f>IF(BG61&lt;&gt;"",MAX($BF$6:BF60)+1,0)</f>
        <v>0</v>
      </c>
      <c r="BG61" t="str">
        <f>IF(BE61&lt;&gt;"",IF(COUNTIF($BE$6:BE60,BE61)&gt;0,"",BE61),"")</f>
        <v/>
      </c>
      <c r="BH61" t="str">
        <f t="shared" si="30"/>
        <v/>
      </c>
      <c r="BI61">
        <f>IF(BJ61&lt;&gt;"",MAX($BI$6:BI60)+1,0)</f>
        <v>0</v>
      </c>
      <c r="BJ61" t="str">
        <f>IF(BH61&lt;&gt;"",IF(COUNTIF($BE$6:BH60,BH61)&gt;0,"",BH61),"")</f>
        <v/>
      </c>
    </row>
    <row r="62" spans="1:62" ht="16.5" customHeight="1">
      <c r="A62" t="str">
        <f t="shared" ref="A62:A118" si="85">IF(V62="〇",F62&amp;G62,"")</f>
        <v/>
      </c>
      <c r="B62" t="str">
        <f t="shared" ref="B62:B118" si="86">IF(V62="〇",G62&amp;W62,"")</f>
        <v/>
      </c>
      <c r="C62">
        <f t="shared" ref="C62:C118" ca="1" si="87">IF(AI62,10,IF(AJ62,1,0))</f>
        <v>0</v>
      </c>
      <c r="D62" t="str">
        <f t="shared" ref="D62:D118" si="88">IF(V62="〇",F62&amp;G62&amp;W62,"")</f>
        <v/>
      </c>
      <c r="E62">
        <f>IF(B62="",0,LARGE($E$5:E61,1)+1)</f>
        <v>0</v>
      </c>
      <c r="F62" s="44"/>
      <c r="G62" s="45"/>
      <c r="H62" s="7" t="str">
        <f>IF(AND(F62="",G62=""),"",VLOOKUP(学校情報!$B$5&amp;F62&amp;G62,選手データ!$A:$H,4,FALSE))</f>
        <v/>
      </c>
      <c r="I62" s="7" t="str">
        <f>IF(AND(F62="",G62=""),"",VLOOKUP(学校情報!$B$5&amp;F62&amp;G62,選手データ!$A:$H,5,FALSE))</f>
        <v/>
      </c>
      <c r="J62" s="8" t="str">
        <f>IF(AND(F62="",G62=""),"",VLOOKUP(学校情報!$B$5&amp;F62&amp;G62,選手データ!$A:$H,6,FALSE))</f>
        <v/>
      </c>
      <c r="K62" s="32" t="str">
        <f>IF(AND(F62="",G62=""),"",VLOOKUP(学校情報!$B$5&amp;F62&amp;G62,選手データ!$A:$H,8,FALSE))</f>
        <v/>
      </c>
      <c r="L62" s="7" t="str">
        <f>IF(AND(F62="",G62=""),"",VLOOKUP(学校情報!$B$5&amp;F62&amp;G62,選手データ!$A:$I,9,FALSE))</f>
        <v/>
      </c>
      <c r="M62" s="44"/>
      <c r="N62" s="46"/>
      <c r="O62" s="47"/>
      <c r="P62" s="7" t="str">
        <f t="shared" ref="P62:P118" ca="1" si="89">AE62&amp;AF62&amp;AG62</f>
        <v/>
      </c>
      <c r="Q62" s="46"/>
      <c r="R62" s="48"/>
      <c r="S62" s="45"/>
      <c r="T62" s="49"/>
      <c r="U62" s="8" t="str">
        <f t="shared" ref="U62:U118" ca="1" si="90">IF(AI62,"A",IF(AJ62,"B",""))</f>
        <v/>
      </c>
      <c r="V62" s="8" t="str">
        <f t="shared" ref="V62:V118" si="91">IF(AK62,IF(COUNTIF(AL62:BB62,TRUE)&gt;0,"×","〇"),"")</f>
        <v/>
      </c>
      <c r="W62" s="4">
        <f t="shared" ref="W62:W118" si="92">IF(ISNUMBER(FIND("(",M62)),LEFT(M62,FIND("(",M62)-1),M62)</f>
        <v>0</v>
      </c>
      <c r="X62" t="b">
        <f ca="1">IF(M62="",FALSE,VLOOKUP(M62,OFFSET(設定!$D$2:$I$25,0,AA62),2,FALSE))</f>
        <v>0</v>
      </c>
      <c r="Y62" t="str">
        <f ca="1">IF(M62="","",VLOOKUP(M62,OFFSET(設定!$D$2:$I$25,0,AA62),3,FALSE))</f>
        <v/>
      </c>
      <c r="Z62" t="b">
        <f ca="1">IF(M62="",FALSE,VLOOKUP(M62,OFFSET(設定!$D$2:$I$25,0,AA62),4,FALSE))</f>
        <v>0</v>
      </c>
      <c r="AA62">
        <f t="shared" si="9"/>
        <v>7</v>
      </c>
      <c r="AB62" s="1" t="str">
        <f ca="1">IF(M62="","",IF(AND(Z62,N62="〇"),IF(VLOOKUP(M62,OFFSET(設定!$D$2:$I$25,0,AA62),5,FALSE)="-","-",LEFT(VLOOKUP(M62,OFFSET(設定!$D$2:$I$25,0,AA62),5,FALSE),INT(LEN(VLOOKUP(M62,OFFSET(設定!$D$2:$I$25,0,AA62),5,FALSE))-1))),IF(VLOOKUP(M62,OFFSET(設定!$D$2:$I$25,0,AA62),5,FALSE)="-","-",INT(VLOOKUP(M62,OFFSET(設定!$D$2:$I$25,0,AA62),5,FALSE)))))</f>
        <v/>
      </c>
      <c r="AC62" s="1" t="str">
        <f ca="1">IF(M62="","",IF(AND(Z62,N62="〇"),IF(VLOOKUP(M62,OFFSET(設定!$D$2:$I$25,0,AA62),6,FALSE)="-","-",LEFT(VLOOKUP(M62,OFFSET(設定!$D$2:$I$25,0,AA62),6,FALSE),INT(LEN(VLOOKUP(M62,OFFSET(設定!$D$2:$I$25,0,AA62),6,FALSE))-1))),IF(VLOOKUP(M62,OFFSET(設定!$D$2:$I$25,0,AA62),6,FALSE)="-","-",INT(VLOOKUP(M62,OFFSET(設定!$D$2:$I$25,0,AA62),6,FALSE)))))</f>
        <v/>
      </c>
      <c r="AD62">
        <f t="shared" si="10"/>
        <v>2</v>
      </c>
      <c r="AE62" t="str">
        <f t="shared" ref="AE62:AE118" ca="1" si="93">IF(Y62="秒",IF(LEN(O62)&lt;=2,"",IF(LEN(O62)&gt;=3,LEFT(O62,LEN(O62)-2)&amp;"分"&amp;RIGHT(O62,2)&amp;"秒","")),"")</f>
        <v/>
      </c>
      <c r="AF62" t="str">
        <f t="shared" ref="AF62:AF118" ca="1" si="94">IF(Y62="ミリ秒",IF(LEN(O62)&gt;AD62,IF(LEN(O62)&lt;=AD62+2,LEFT(O62,LEN(O62)-AD62)&amp;"秒"&amp;RIGHT(O62,AD62),LEFT(O62,LEN(O62)-(AD62+2))&amp;"分"&amp;MID(O62,LEN(O62)-(AD62+2)+1,2)&amp;"秒"&amp;RIGHT(O62,AD62)),""),"")</f>
        <v/>
      </c>
      <c r="AG62" t="str">
        <f t="shared" ref="AG62:AG118" ca="1" si="95">IF(Y62="ｍ",IF(LEN(O62)&gt;=3,LEFT(O62,LEN(O62)-2)&amp;"ｍ"&amp;RIGHT(O62,2),""),"")</f>
        <v/>
      </c>
      <c r="AH62" t="b">
        <f t="shared" ref="AH62:AH118" ca="1" si="96">IF(X62,IF(OR(Q62="",R62=""),FALSE,IF(INT(Q62&amp;ROUNDUP(TEXT(R62,"0.0"),0))&lt;=2,TRUE,FALSE)),TRUE)</f>
        <v>1</v>
      </c>
      <c r="AI62" t="b">
        <f t="shared" ref="AI62:AI118" ca="1" si="97">IF(AND(NOT(AR62),NOT(AS62),AE62&amp;AF62&amp;AG62&lt;&gt;"",AB62&lt;&gt;"-"),IF(Y62="ｍ",IF(INT(AB62)&lt;=INT(O62),TRUE,FALSE),IF(INT(AB62)&gt;=INT(O62),TRUE,FALSE)),FALSE)</f>
        <v>0</v>
      </c>
      <c r="AJ62" t="b">
        <f t="shared" ref="AJ62:AJ118" ca="1" si="98">IF(AND(NOT(AR62),NOT(AS62),AE62&amp;AF62&amp;AG62&lt;&gt;""),IF(Y62="ｍ",IF(INT(AC62)&lt;=INT(O62),TRUE,FALSE),IF(INT(AC62)&gt;=INT(O62),TRUE,FALSE)),FALSE)</f>
        <v>0</v>
      </c>
      <c r="AK62" t="b">
        <f t="shared" ref="AK62:AK118" si="99">IF(F62&amp;G62&amp;M62&amp;O62&amp;Q62&amp;R62&amp;S62&amp;T62&lt;&gt;"",TRUE,FALSE)</f>
        <v>0</v>
      </c>
      <c r="AL62" t="b">
        <f t="shared" ref="AL62:AL118" si="100">IF(AND(AK62,F62=""),TRUE,FALSE)</f>
        <v>0</v>
      </c>
      <c r="AM62" t="b">
        <f t="shared" ref="AM62:AM118" si="101">IF(AND(AK62,F62&lt;&gt;"",ISNA(H62)),TRUE,FALSE)</f>
        <v>0</v>
      </c>
      <c r="AN62" t="b">
        <f t="shared" ref="AN62:AN118" si="102">IF(M62="",AK62,FALSE)</f>
        <v>0</v>
      </c>
      <c r="AO62" t="b">
        <f>IF(COUNTIF($D$6:D61,F62&amp;G62&amp;W62)&gt;0,AK62,FALSE)</f>
        <v>0</v>
      </c>
      <c r="AP62" t="b">
        <f t="shared" ca="1" si="19"/>
        <v>0</v>
      </c>
      <c r="AQ62" t="b">
        <f t="shared" ref="AQ62:AQ118" si="103">IF(AND(AK62,O62=""),TRUE,FALSE)</f>
        <v>0</v>
      </c>
      <c r="AR62" t="b">
        <f t="shared" ref="AR62:AR118" si="104">IF(ISNUMBER(O62),FALSE,AK62)</f>
        <v>0</v>
      </c>
      <c r="AS62" t="b">
        <f t="shared" ref="AS62:AS118" ca="1" si="105">IF(Y62="ｍ",FALSE,IF(LEN(O62)&gt;=AD62+2,IF(INT(LEFT(RIGHT(O62,AD62+2),2))&gt;=60,TRUE,FALSE),FALSE))</f>
        <v>0</v>
      </c>
      <c r="AT62" t="b">
        <f t="shared" ref="AT62:AT118" ca="1" si="106">IF(AND(NOT(AI62),NOT(AJ62)),AK62,FALSE)</f>
        <v>0</v>
      </c>
      <c r="AU62" t="b">
        <f ca="1">IF(COUNTIF(設定!$B$6:$B$11,SUMIF($B$6:B61,G62&amp;W62,$C$6:C61)+IF(AI62,10,IF(AJ62,1,0)))=1,FALSE,AK62)</f>
        <v>0</v>
      </c>
      <c r="AV62" t="b">
        <f t="shared" ref="AV62:AV118" ca="1" si="107">IF(AND(X62,OR(R62="",Q62="")),TRUE,FALSE)</f>
        <v>0</v>
      </c>
      <c r="AW62" t="b">
        <f t="shared" ref="AW62:AW118" ca="1" si="108">NOT(AH62)</f>
        <v>0</v>
      </c>
      <c r="AX62" t="b">
        <f t="shared" ref="AX62:AX118" si="109">IF(AND(AK62,S62=""),TRUE,FALSE)</f>
        <v>0</v>
      </c>
      <c r="AY62" t="b">
        <f t="shared" ref="AY62:AY118" si="110">IF(AND(AK62,T62=""),TRUE,FALSE)</f>
        <v>0</v>
      </c>
      <c r="AZ62" t="b">
        <f t="shared" ref="AZ62:AZ118" si="111">IF(ISERROR(DAY(T62)),TRUE,FALSE)</f>
        <v>0</v>
      </c>
      <c r="BA62" t="b">
        <f>IF(AND(設定!$B$2&lt;=T62,T62&lt;=設定!$B$3),FALSE,AK62)</f>
        <v>0</v>
      </c>
      <c r="BC62">
        <f t="shared" ref="BC62:BC118" ca="1" si="112">IF(AI62,10,IF(AJ62,1,0))</f>
        <v>0</v>
      </c>
      <c r="BD62">
        <f t="shared" si="28"/>
        <v>57</v>
      </c>
      <c r="BE62" t="str">
        <f t="shared" ref="BE62:BE118" si="113">IF(AND(V62="〇",G62="男"),F62&amp;G62,"")</f>
        <v/>
      </c>
      <c r="BF62">
        <f>IF(BG62&lt;&gt;"",MAX($BF$6:BF61)+1,0)</f>
        <v>0</v>
      </c>
      <c r="BG62" t="str">
        <f>IF(BE62&lt;&gt;"",IF(COUNTIF($BE$6:BE61,BE62)&gt;0,"",BE62),"")</f>
        <v/>
      </c>
      <c r="BH62" t="str">
        <f t="shared" ref="BH62:BH118" si="114">IF(AND(V62="〇",G62="女"),F62&amp;G62,"")</f>
        <v/>
      </c>
      <c r="BI62">
        <f>IF(BJ62&lt;&gt;"",MAX($BI$6:BI61)+1,0)</f>
        <v>0</v>
      </c>
      <c r="BJ62" t="str">
        <f>IF(BH62&lt;&gt;"",IF(COUNTIF($BE$6:BH61,BH62)&gt;0,"",BH62),"")</f>
        <v/>
      </c>
    </row>
    <row r="63" spans="1:62" ht="16.5" customHeight="1">
      <c r="A63" t="str">
        <f t="shared" si="85"/>
        <v/>
      </c>
      <c r="B63" t="str">
        <f t="shared" si="86"/>
        <v/>
      </c>
      <c r="C63">
        <f t="shared" ca="1" si="87"/>
        <v>0</v>
      </c>
      <c r="D63" t="str">
        <f t="shared" si="88"/>
        <v/>
      </c>
      <c r="E63">
        <f>IF(B63="",0,LARGE($E$5:E62,1)+1)</f>
        <v>0</v>
      </c>
      <c r="F63" s="44"/>
      <c r="G63" s="45"/>
      <c r="H63" s="7" t="str">
        <f>IF(AND(F63="",G63=""),"",VLOOKUP(学校情報!$B$5&amp;F63&amp;G63,選手データ!$A:$H,4,FALSE))</f>
        <v/>
      </c>
      <c r="I63" s="7" t="str">
        <f>IF(AND(F63="",G63=""),"",VLOOKUP(学校情報!$B$5&amp;F63&amp;G63,選手データ!$A:$H,5,FALSE))</f>
        <v/>
      </c>
      <c r="J63" s="8" t="str">
        <f>IF(AND(F63="",G63=""),"",VLOOKUP(学校情報!$B$5&amp;F63&amp;G63,選手データ!$A:$H,6,FALSE))</f>
        <v/>
      </c>
      <c r="K63" s="32" t="str">
        <f>IF(AND(F63="",G63=""),"",VLOOKUP(学校情報!$B$5&amp;F63&amp;G63,選手データ!$A:$H,8,FALSE))</f>
        <v/>
      </c>
      <c r="L63" s="7" t="str">
        <f>IF(AND(F63="",G63=""),"",VLOOKUP(学校情報!$B$5&amp;F63&amp;G63,選手データ!$A:$I,9,FALSE))</f>
        <v/>
      </c>
      <c r="M63" s="44"/>
      <c r="N63" s="46"/>
      <c r="O63" s="47"/>
      <c r="P63" s="7" t="str">
        <f t="shared" ca="1" si="89"/>
        <v/>
      </c>
      <c r="Q63" s="46"/>
      <c r="R63" s="48"/>
      <c r="S63" s="45"/>
      <c r="T63" s="49"/>
      <c r="U63" s="8" t="str">
        <f t="shared" ca="1" si="90"/>
        <v/>
      </c>
      <c r="V63" s="8" t="str">
        <f t="shared" si="91"/>
        <v/>
      </c>
      <c r="W63" s="4">
        <f t="shared" si="92"/>
        <v>0</v>
      </c>
      <c r="X63" t="b">
        <f ca="1">IF(M63="",FALSE,VLOOKUP(M63,OFFSET(設定!$D$2:$I$25,0,AA63),2,FALSE))</f>
        <v>0</v>
      </c>
      <c r="Y63" t="str">
        <f ca="1">IF(M63="","",VLOOKUP(M63,OFFSET(設定!$D$2:$I$25,0,AA63),3,FALSE))</f>
        <v/>
      </c>
      <c r="Z63" t="b">
        <f ca="1">IF(M63="",FALSE,VLOOKUP(M63,OFFSET(設定!$D$2:$I$25,0,AA63),4,FALSE))</f>
        <v>0</v>
      </c>
      <c r="AA63">
        <f t="shared" si="9"/>
        <v>7</v>
      </c>
      <c r="AB63" s="1" t="str">
        <f ca="1">IF(M63="","",IF(AND(Z63,N63="〇"),IF(VLOOKUP(M63,OFFSET(設定!$D$2:$I$25,0,AA63),5,FALSE)="-","-",LEFT(VLOOKUP(M63,OFFSET(設定!$D$2:$I$25,0,AA63),5,FALSE),INT(LEN(VLOOKUP(M63,OFFSET(設定!$D$2:$I$25,0,AA63),5,FALSE))-1))),IF(VLOOKUP(M63,OFFSET(設定!$D$2:$I$25,0,AA63),5,FALSE)="-","-",INT(VLOOKUP(M63,OFFSET(設定!$D$2:$I$25,0,AA63),5,FALSE)))))</f>
        <v/>
      </c>
      <c r="AC63" s="1" t="str">
        <f ca="1">IF(M63="","",IF(AND(Z63,N63="〇"),IF(VLOOKUP(M63,OFFSET(設定!$D$2:$I$25,0,AA63),6,FALSE)="-","-",LEFT(VLOOKUP(M63,OFFSET(設定!$D$2:$I$25,0,AA63),6,FALSE),INT(LEN(VLOOKUP(M63,OFFSET(設定!$D$2:$I$25,0,AA63),6,FALSE))-1))),IF(VLOOKUP(M63,OFFSET(設定!$D$2:$I$25,0,AA63),6,FALSE)="-","-",INT(VLOOKUP(M63,OFFSET(設定!$D$2:$I$25,0,AA63),6,FALSE)))))</f>
        <v/>
      </c>
      <c r="AD63">
        <f t="shared" si="10"/>
        <v>2</v>
      </c>
      <c r="AE63" t="str">
        <f t="shared" ca="1" si="93"/>
        <v/>
      </c>
      <c r="AF63" t="str">
        <f t="shared" ca="1" si="94"/>
        <v/>
      </c>
      <c r="AG63" t="str">
        <f t="shared" ca="1" si="95"/>
        <v/>
      </c>
      <c r="AH63" t="b">
        <f t="shared" ca="1" si="96"/>
        <v>1</v>
      </c>
      <c r="AI63" t="b">
        <f t="shared" ca="1" si="97"/>
        <v>0</v>
      </c>
      <c r="AJ63" t="b">
        <f t="shared" ca="1" si="98"/>
        <v>0</v>
      </c>
      <c r="AK63" t="b">
        <f t="shared" si="99"/>
        <v>0</v>
      </c>
      <c r="AL63" t="b">
        <f t="shared" si="100"/>
        <v>0</v>
      </c>
      <c r="AM63" t="b">
        <f t="shared" si="101"/>
        <v>0</v>
      </c>
      <c r="AN63" t="b">
        <f t="shared" si="102"/>
        <v>0</v>
      </c>
      <c r="AO63" t="b">
        <f>IF(COUNTIF($D$6:D62,F63&amp;G63&amp;W63)&gt;0,AK63,FALSE)</f>
        <v>0</v>
      </c>
      <c r="AP63" t="b">
        <f t="shared" ca="1" si="19"/>
        <v>0</v>
      </c>
      <c r="AQ63" t="b">
        <f t="shared" si="103"/>
        <v>0</v>
      </c>
      <c r="AR63" t="b">
        <f t="shared" si="104"/>
        <v>0</v>
      </c>
      <c r="AS63" t="b">
        <f t="shared" ca="1" si="105"/>
        <v>0</v>
      </c>
      <c r="AT63" t="b">
        <f t="shared" ca="1" si="106"/>
        <v>0</v>
      </c>
      <c r="AU63" t="b">
        <f ca="1">IF(COUNTIF(設定!$B$6:$B$11,SUMIF($B$6:B62,G63&amp;W63,$C$6:C62)+IF(AI63,10,IF(AJ63,1,0)))=1,FALSE,AK63)</f>
        <v>0</v>
      </c>
      <c r="AV63" t="b">
        <f t="shared" ca="1" si="107"/>
        <v>0</v>
      </c>
      <c r="AW63" t="b">
        <f t="shared" ca="1" si="108"/>
        <v>0</v>
      </c>
      <c r="AX63" t="b">
        <f t="shared" si="109"/>
        <v>0</v>
      </c>
      <c r="AY63" t="b">
        <f t="shared" si="110"/>
        <v>0</v>
      </c>
      <c r="AZ63" t="b">
        <f t="shared" si="111"/>
        <v>0</v>
      </c>
      <c r="BA63" t="b">
        <f>IF(AND(設定!$B$2&lt;=T63,T63&lt;=設定!$B$3),FALSE,AK63)</f>
        <v>0</v>
      </c>
      <c r="BC63">
        <f t="shared" ca="1" si="112"/>
        <v>0</v>
      </c>
      <c r="BD63">
        <f t="shared" si="28"/>
        <v>58</v>
      </c>
      <c r="BE63" t="str">
        <f t="shared" si="113"/>
        <v/>
      </c>
      <c r="BF63">
        <f>IF(BG63&lt;&gt;"",MAX($BF$6:BF62)+1,0)</f>
        <v>0</v>
      </c>
      <c r="BG63" t="str">
        <f>IF(BE63&lt;&gt;"",IF(COUNTIF($BE$6:BE62,BE63)&gt;0,"",BE63),"")</f>
        <v/>
      </c>
      <c r="BH63" t="str">
        <f t="shared" si="114"/>
        <v/>
      </c>
      <c r="BI63">
        <f>IF(BJ63&lt;&gt;"",MAX($BI$6:BI62)+1,0)</f>
        <v>0</v>
      </c>
      <c r="BJ63" t="str">
        <f>IF(BH63&lt;&gt;"",IF(COUNTIF($BE$6:BH62,BH63)&gt;0,"",BH63),"")</f>
        <v/>
      </c>
    </row>
    <row r="64" spans="1:62" ht="16.5" customHeight="1">
      <c r="A64" t="str">
        <f t="shared" si="85"/>
        <v/>
      </c>
      <c r="B64" t="str">
        <f t="shared" si="86"/>
        <v/>
      </c>
      <c r="C64">
        <f t="shared" ca="1" si="87"/>
        <v>0</v>
      </c>
      <c r="D64" t="str">
        <f t="shared" si="88"/>
        <v/>
      </c>
      <c r="E64">
        <f>IF(B64="",0,LARGE($E$5:E63,1)+1)</f>
        <v>0</v>
      </c>
      <c r="F64" s="44"/>
      <c r="G64" s="45"/>
      <c r="H64" s="7" t="str">
        <f>IF(AND(F64="",G64=""),"",VLOOKUP(学校情報!$B$5&amp;F64&amp;G64,選手データ!$A:$H,4,FALSE))</f>
        <v/>
      </c>
      <c r="I64" s="7" t="str">
        <f>IF(AND(F64="",G64=""),"",VLOOKUP(学校情報!$B$5&amp;F64&amp;G64,選手データ!$A:$H,5,FALSE))</f>
        <v/>
      </c>
      <c r="J64" s="8" t="str">
        <f>IF(AND(F64="",G64=""),"",VLOOKUP(学校情報!$B$5&amp;F64&amp;G64,選手データ!$A:$H,6,FALSE))</f>
        <v/>
      </c>
      <c r="K64" s="32" t="str">
        <f>IF(AND(F64="",G64=""),"",VLOOKUP(学校情報!$B$5&amp;F64&amp;G64,選手データ!$A:$H,8,FALSE))</f>
        <v/>
      </c>
      <c r="L64" s="7" t="str">
        <f>IF(AND(F64="",G64=""),"",VLOOKUP(学校情報!$B$5&amp;F64&amp;G64,選手データ!$A:$I,9,FALSE))</f>
        <v/>
      </c>
      <c r="M64" s="44"/>
      <c r="N64" s="46"/>
      <c r="O64" s="47"/>
      <c r="P64" s="7" t="str">
        <f t="shared" ca="1" si="89"/>
        <v/>
      </c>
      <c r="Q64" s="46"/>
      <c r="R64" s="48"/>
      <c r="S64" s="45"/>
      <c r="T64" s="49"/>
      <c r="U64" s="8" t="str">
        <f t="shared" ca="1" si="90"/>
        <v/>
      </c>
      <c r="V64" s="8" t="str">
        <f t="shared" si="91"/>
        <v/>
      </c>
      <c r="W64" s="4">
        <f t="shared" si="92"/>
        <v>0</v>
      </c>
      <c r="X64" t="b">
        <f ca="1">IF(M64="",FALSE,VLOOKUP(M64,OFFSET(設定!$D$2:$I$25,0,AA64),2,FALSE))</f>
        <v>0</v>
      </c>
      <c r="Y64" t="str">
        <f ca="1">IF(M64="","",VLOOKUP(M64,OFFSET(設定!$D$2:$I$25,0,AA64),3,FALSE))</f>
        <v/>
      </c>
      <c r="Z64" t="b">
        <f ca="1">IF(M64="",FALSE,VLOOKUP(M64,OFFSET(設定!$D$2:$I$25,0,AA64),4,FALSE))</f>
        <v>0</v>
      </c>
      <c r="AA64">
        <f t="shared" si="9"/>
        <v>7</v>
      </c>
      <c r="AB64" s="1" t="str">
        <f ca="1">IF(M64="","",IF(AND(Z64,N64="〇"),IF(VLOOKUP(M64,OFFSET(設定!$D$2:$I$25,0,AA64),5,FALSE)="-","-",LEFT(VLOOKUP(M64,OFFSET(設定!$D$2:$I$25,0,AA64),5,FALSE),INT(LEN(VLOOKUP(M64,OFFSET(設定!$D$2:$I$25,0,AA64),5,FALSE))-1))),IF(VLOOKUP(M64,OFFSET(設定!$D$2:$I$25,0,AA64),5,FALSE)="-","-",INT(VLOOKUP(M64,OFFSET(設定!$D$2:$I$25,0,AA64),5,FALSE)))))</f>
        <v/>
      </c>
      <c r="AC64" s="1" t="str">
        <f ca="1">IF(M64="","",IF(AND(Z64,N64="〇"),IF(VLOOKUP(M64,OFFSET(設定!$D$2:$I$25,0,AA64),6,FALSE)="-","-",LEFT(VLOOKUP(M64,OFFSET(設定!$D$2:$I$25,0,AA64),6,FALSE),INT(LEN(VLOOKUP(M64,OFFSET(設定!$D$2:$I$25,0,AA64),6,FALSE))-1))),IF(VLOOKUP(M64,OFFSET(設定!$D$2:$I$25,0,AA64),6,FALSE)="-","-",INT(VLOOKUP(M64,OFFSET(設定!$D$2:$I$25,0,AA64),6,FALSE)))))</f>
        <v/>
      </c>
      <c r="AD64">
        <f t="shared" si="10"/>
        <v>2</v>
      </c>
      <c r="AE64" t="str">
        <f t="shared" ca="1" si="93"/>
        <v/>
      </c>
      <c r="AF64" t="str">
        <f t="shared" ca="1" si="94"/>
        <v/>
      </c>
      <c r="AG64" t="str">
        <f t="shared" ca="1" si="95"/>
        <v/>
      </c>
      <c r="AH64" t="b">
        <f t="shared" ca="1" si="96"/>
        <v>1</v>
      </c>
      <c r="AI64" t="b">
        <f t="shared" ca="1" si="97"/>
        <v>0</v>
      </c>
      <c r="AJ64" t="b">
        <f t="shared" ca="1" si="98"/>
        <v>0</v>
      </c>
      <c r="AK64" t="b">
        <f t="shared" si="99"/>
        <v>0</v>
      </c>
      <c r="AL64" t="b">
        <f t="shared" si="100"/>
        <v>0</v>
      </c>
      <c r="AM64" t="b">
        <f t="shared" si="101"/>
        <v>0</v>
      </c>
      <c r="AN64" t="b">
        <f t="shared" si="102"/>
        <v>0</v>
      </c>
      <c r="AO64" t="b">
        <f>IF(COUNTIF($D$6:D63,F64&amp;G64&amp;W64)&gt;0,AK64,FALSE)</f>
        <v>0</v>
      </c>
      <c r="AP64" t="b">
        <f t="shared" ca="1" si="19"/>
        <v>0</v>
      </c>
      <c r="AQ64" t="b">
        <f t="shared" si="103"/>
        <v>0</v>
      </c>
      <c r="AR64" t="b">
        <f t="shared" si="104"/>
        <v>0</v>
      </c>
      <c r="AS64" t="b">
        <f t="shared" ca="1" si="105"/>
        <v>0</v>
      </c>
      <c r="AT64" t="b">
        <f t="shared" ca="1" si="106"/>
        <v>0</v>
      </c>
      <c r="AU64" t="b">
        <f ca="1">IF(COUNTIF(設定!$B$6:$B$11,SUMIF($B$6:B63,G64&amp;W64,$C$6:C63)+IF(AI64,10,IF(AJ64,1,0)))=1,FALSE,AK64)</f>
        <v>0</v>
      </c>
      <c r="AV64" t="b">
        <f t="shared" ca="1" si="107"/>
        <v>0</v>
      </c>
      <c r="AW64" t="b">
        <f t="shared" ca="1" si="108"/>
        <v>0</v>
      </c>
      <c r="AX64" t="b">
        <f t="shared" si="109"/>
        <v>0</v>
      </c>
      <c r="AY64" t="b">
        <f t="shared" si="110"/>
        <v>0</v>
      </c>
      <c r="AZ64" t="b">
        <f t="shared" si="111"/>
        <v>0</v>
      </c>
      <c r="BA64" t="b">
        <f>IF(AND(設定!$B$2&lt;=T64,T64&lt;=設定!$B$3),FALSE,AK64)</f>
        <v>0</v>
      </c>
      <c r="BC64">
        <f t="shared" ca="1" si="112"/>
        <v>0</v>
      </c>
      <c r="BD64">
        <f t="shared" si="28"/>
        <v>59</v>
      </c>
      <c r="BE64" t="str">
        <f t="shared" si="113"/>
        <v/>
      </c>
      <c r="BF64">
        <f>IF(BG64&lt;&gt;"",MAX($BF$6:BF63)+1,0)</f>
        <v>0</v>
      </c>
      <c r="BG64" t="str">
        <f>IF(BE64&lt;&gt;"",IF(COUNTIF($BE$6:BE63,BE64)&gt;0,"",BE64),"")</f>
        <v/>
      </c>
      <c r="BH64" t="str">
        <f t="shared" si="114"/>
        <v/>
      </c>
      <c r="BI64">
        <f>IF(BJ64&lt;&gt;"",MAX($BI$6:BI63)+1,0)</f>
        <v>0</v>
      </c>
      <c r="BJ64" t="str">
        <f>IF(BH64&lt;&gt;"",IF(COUNTIF($BE$6:BH63,BH64)&gt;0,"",BH64),"")</f>
        <v/>
      </c>
    </row>
    <row r="65" spans="1:62" ht="16.5" customHeight="1">
      <c r="A65" t="str">
        <f t="shared" si="85"/>
        <v/>
      </c>
      <c r="B65" t="str">
        <f t="shared" si="86"/>
        <v/>
      </c>
      <c r="C65">
        <f t="shared" ca="1" si="87"/>
        <v>0</v>
      </c>
      <c r="D65" t="str">
        <f t="shared" si="88"/>
        <v/>
      </c>
      <c r="E65">
        <f>IF(B65="",0,LARGE($E$5:E64,1)+1)</f>
        <v>0</v>
      </c>
      <c r="F65" s="44"/>
      <c r="G65" s="45"/>
      <c r="H65" s="7" t="str">
        <f>IF(AND(F65="",G65=""),"",VLOOKUP(学校情報!$B$5&amp;F65&amp;G65,選手データ!$A:$H,4,FALSE))</f>
        <v/>
      </c>
      <c r="I65" s="7" t="str">
        <f>IF(AND(F65="",G65=""),"",VLOOKUP(学校情報!$B$5&amp;F65&amp;G65,選手データ!$A:$H,5,FALSE))</f>
        <v/>
      </c>
      <c r="J65" s="8" t="str">
        <f>IF(AND(F65="",G65=""),"",VLOOKUP(学校情報!$B$5&amp;F65&amp;G65,選手データ!$A:$H,6,FALSE))</f>
        <v/>
      </c>
      <c r="K65" s="32" t="str">
        <f>IF(AND(F65="",G65=""),"",VLOOKUP(学校情報!$B$5&amp;F65&amp;G65,選手データ!$A:$H,8,FALSE))</f>
        <v/>
      </c>
      <c r="L65" s="7" t="str">
        <f>IF(AND(F65="",G65=""),"",VLOOKUP(学校情報!$B$5&amp;F65&amp;G65,選手データ!$A:$I,9,FALSE))</f>
        <v/>
      </c>
      <c r="M65" s="44"/>
      <c r="N65" s="46"/>
      <c r="O65" s="47"/>
      <c r="P65" s="7" t="str">
        <f t="shared" ca="1" si="89"/>
        <v/>
      </c>
      <c r="Q65" s="46"/>
      <c r="R65" s="48"/>
      <c r="S65" s="45"/>
      <c r="T65" s="49"/>
      <c r="U65" s="8" t="str">
        <f t="shared" ca="1" si="90"/>
        <v/>
      </c>
      <c r="V65" s="8" t="str">
        <f t="shared" si="91"/>
        <v/>
      </c>
      <c r="W65" s="4">
        <f t="shared" si="92"/>
        <v>0</v>
      </c>
      <c r="X65" t="b">
        <f ca="1">IF(M65="",FALSE,VLOOKUP(M65,OFFSET(設定!$D$2:$I$25,0,AA65),2,FALSE))</f>
        <v>0</v>
      </c>
      <c r="Y65" t="str">
        <f ca="1">IF(M65="","",VLOOKUP(M65,OFFSET(設定!$D$2:$I$25,0,AA65),3,FALSE))</f>
        <v/>
      </c>
      <c r="Z65" t="b">
        <f ca="1">IF(M65="",FALSE,VLOOKUP(M65,OFFSET(設定!$D$2:$I$25,0,AA65),4,FALSE))</f>
        <v>0</v>
      </c>
      <c r="AA65">
        <f t="shared" si="9"/>
        <v>7</v>
      </c>
      <c r="AB65" s="1" t="str">
        <f ca="1">IF(M65="","",IF(AND(Z65,N65="〇"),IF(VLOOKUP(M65,OFFSET(設定!$D$2:$I$25,0,AA65),5,FALSE)="-","-",LEFT(VLOOKUP(M65,OFFSET(設定!$D$2:$I$25,0,AA65),5,FALSE),INT(LEN(VLOOKUP(M65,OFFSET(設定!$D$2:$I$25,0,AA65),5,FALSE))-1))),IF(VLOOKUP(M65,OFFSET(設定!$D$2:$I$25,0,AA65),5,FALSE)="-","-",INT(VLOOKUP(M65,OFFSET(設定!$D$2:$I$25,0,AA65),5,FALSE)))))</f>
        <v/>
      </c>
      <c r="AC65" s="1" t="str">
        <f ca="1">IF(M65="","",IF(AND(Z65,N65="〇"),IF(VLOOKUP(M65,OFFSET(設定!$D$2:$I$25,0,AA65),6,FALSE)="-","-",LEFT(VLOOKUP(M65,OFFSET(設定!$D$2:$I$25,0,AA65),6,FALSE),INT(LEN(VLOOKUP(M65,OFFSET(設定!$D$2:$I$25,0,AA65),6,FALSE))-1))),IF(VLOOKUP(M65,OFFSET(設定!$D$2:$I$25,0,AA65),6,FALSE)="-","-",INT(VLOOKUP(M65,OFFSET(設定!$D$2:$I$25,0,AA65),6,FALSE)))))</f>
        <v/>
      </c>
      <c r="AD65">
        <f t="shared" si="10"/>
        <v>2</v>
      </c>
      <c r="AE65" t="str">
        <f t="shared" ca="1" si="93"/>
        <v/>
      </c>
      <c r="AF65" t="str">
        <f t="shared" ca="1" si="94"/>
        <v/>
      </c>
      <c r="AG65" t="str">
        <f t="shared" ca="1" si="95"/>
        <v/>
      </c>
      <c r="AH65" t="b">
        <f t="shared" ca="1" si="96"/>
        <v>1</v>
      </c>
      <c r="AI65" t="b">
        <f t="shared" ca="1" si="97"/>
        <v>0</v>
      </c>
      <c r="AJ65" t="b">
        <f t="shared" ca="1" si="98"/>
        <v>0</v>
      </c>
      <c r="AK65" t="b">
        <f t="shared" si="99"/>
        <v>0</v>
      </c>
      <c r="AL65" t="b">
        <f t="shared" si="100"/>
        <v>0</v>
      </c>
      <c r="AM65" t="b">
        <f t="shared" si="101"/>
        <v>0</v>
      </c>
      <c r="AN65" t="b">
        <f t="shared" si="102"/>
        <v>0</v>
      </c>
      <c r="AO65" t="b">
        <f>IF(COUNTIF($D$6:D64,F65&amp;G65&amp;W65)&gt;0,AK65,FALSE)</f>
        <v>0</v>
      </c>
      <c r="AP65" t="b">
        <f t="shared" ca="1" si="19"/>
        <v>0</v>
      </c>
      <c r="AQ65" t="b">
        <f t="shared" si="103"/>
        <v>0</v>
      </c>
      <c r="AR65" t="b">
        <f t="shared" si="104"/>
        <v>0</v>
      </c>
      <c r="AS65" t="b">
        <f t="shared" ca="1" si="105"/>
        <v>0</v>
      </c>
      <c r="AT65" t="b">
        <f t="shared" ca="1" si="106"/>
        <v>0</v>
      </c>
      <c r="AU65" t="b">
        <f ca="1">IF(COUNTIF(設定!$B$6:$B$11,SUMIF($B$6:B64,G65&amp;W65,$C$6:C64)+IF(AI65,10,IF(AJ65,1,0)))=1,FALSE,AK65)</f>
        <v>0</v>
      </c>
      <c r="AV65" t="b">
        <f t="shared" ca="1" si="107"/>
        <v>0</v>
      </c>
      <c r="AW65" t="b">
        <f t="shared" ca="1" si="108"/>
        <v>0</v>
      </c>
      <c r="AX65" t="b">
        <f t="shared" si="109"/>
        <v>0</v>
      </c>
      <c r="AY65" t="b">
        <f t="shared" si="110"/>
        <v>0</v>
      </c>
      <c r="AZ65" t="b">
        <f t="shared" si="111"/>
        <v>0</v>
      </c>
      <c r="BA65" t="b">
        <f>IF(AND(設定!$B$2&lt;=T65,T65&lt;=設定!$B$3),FALSE,AK65)</f>
        <v>0</v>
      </c>
      <c r="BC65">
        <f t="shared" ca="1" si="112"/>
        <v>0</v>
      </c>
      <c r="BD65">
        <f t="shared" si="28"/>
        <v>60</v>
      </c>
      <c r="BE65" t="str">
        <f t="shared" si="113"/>
        <v/>
      </c>
      <c r="BF65">
        <f>IF(BG65&lt;&gt;"",MAX($BF$6:BF64)+1,0)</f>
        <v>0</v>
      </c>
      <c r="BG65" t="str">
        <f>IF(BE65&lt;&gt;"",IF(COUNTIF($BE$6:BE64,BE65)&gt;0,"",BE65),"")</f>
        <v/>
      </c>
      <c r="BH65" t="str">
        <f t="shared" si="114"/>
        <v/>
      </c>
      <c r="BI65">
        <f>IF(BJ65&lt;&gt;"",MAX($BI$6:BI64)+1,0)</f>
        <v>0</v>
      </c>
      <c r="BJ65" t="str">
        <f>IF(BH65&lt;&gt;"",IF(COUNTIF($BE$6:BH64,BH65)&gt;0,"",BH65),"")</f>
        <v/>
      </c>
    </row>
    <row r="66" spans="1:62" ht="16.5" customHeight="1">
      <c r="A66" t="str">
        <f t="shared" si="85"/>
        <v/>
      </c>
      <c r="B66" t="str">
        <f t="shared" si="86"/>
        <v/>
      </c>
      <c r="C66">
        <f t="shared" ca="1" si="87"/>
        <v>0</v>
      </c>
      <c r="D66" t="str">
        <f t="shared" si="88"/>
        <v/>
      </c>
      <c r="E66">
        <f>IF(B66="",0,LARGE($E$5:E65,1)+1)</f>
        <v>0</v>
      </c>
      <c r="F66" s="44"/>
      <c r="G66" s="45"/>
      <c r="H66" s="7" t="str">
        <f>IF(AND(F66="",G66=""),"",VLOOKUP(学校情報!$B$5&amp;F66&amp;G66,選手データ!$A:$H,4,FALSE))</f>
        <v/>
      </c>
      <c r="I66" s="7" t="str">
        <f>IF(AND(F66="",G66=""),"",VLOOKUP(学校情報!$B$5&amp;F66&amp;G66,選手データ!$A:$H,5,FALSE))</f>
        <v/>
      </c>
      <c r="J66" s="8" t="str">
        <f>IF(AND(F66="",G66=""),"",VLOOKUP(学校情報!$B$5&amp;F66&amp;G66,選手データ!$A:$H,6,FALSE))</f>
        <v/>
      </c>
      <c r="K66" s="32" t="str">
        <f>IF(AND(F66="",G66=""),"",VLOOKUP(学校情報!$B$5&amp;F66&amp;G66,選手データ!$A:$H,8,FALSE))</f>
        <v/>
      </c>
      <c r="L66" s="7" t="str">
        <f>IF(AND(F66="",G66=""),"",VLOOKUP(学校情報!$B$5&amp;F66&amp;G66,選手データ!$A:$I,9,FALSE))</f>
        <v/>
      </c>
      <c r="M66" s="44"/>
      <c r="N66" s="46"/>
      <c r="O66" s="47"/>
      <c r="P66" s="7" t="str">
        <f t="shared" ca="1" si="89"/>
        <v/>
      </c>
      <c r="Q66" s="46"/>
      <c r="R66" s="48"/>
      <c r="S66" s="45"/>
      <c r="T66" s="49"/>
      <c r="U66" s="8" t="str">
        <f t="shared" ca="1" si="90"/>
        <v/>
      </c>
      <c r="V66" s="8" t="str">
        <f t="shared" si="91"/>
        <v/>
      </c>
      <c r="W66" s="4">
        <f t="shared" si="92"/>
        <v>0</v>
      </c>
      <c r="X66" t="b">
        <f ca="1">IF(M66="",FALSE,VLOOKUP(M66,OFFSET(設定!$D$2:$I$25,0,AA66),2,FALSE))</f>
        <v>0</v>
      </c>
      <c r="Y66" t="str">
        <f ca="1">IF(M66="","",VLOOKUP(M66,OFFSET(設定!$D$2:$I$25,0,AA66),3,FALSE))</f>
        <v/>
      </c>
      <c r="Z66" t="b">
        <f ca="1">IF(M66="",FALSE,VLOOKUP(M66,OFFSET(設定!$D$2:$I$25,0,AA66),4,FALSE))</f>
        <v>0</v>
      </c>
      <c r="AA66">
        <f t="shared" si="9"/>
        <v>7</v>
      </c>
      <c r="AB66" s="1" t="str">
        <f ca="1">IF(M66="","",IF(AND(Z66,N66="〇"),IF(VLOOKUP(M66,OFFSET(設定!$D$2:$I$25,0,AA66),5,FALSE)="-","-",LEFT(VLOOKUP(M66,OFFSET(設定!$D$2:$I$25,0,AA66),5,FALSE),INT(LEN(VLOOKUP(M66,OFFSET(設定!$D$2:$I$25,0,AA66),5,FALSE))-1))),IF(VLOOKUP(M66,OFFSET(設定!$D$2:$I$25,0,AA66),5,FALSE)="-","-",INT(VLOOKUP(M66,OFFSET(設定!$D$2:$I$25,0,AA66),5,FALSE)))))</f>
        <v/>
      </c>
      <c r="AC66" s="1" t="str">
        <f ca="1">IF(M66="","",IF(AND(Z66,N66="〇"),IF(VLOOKUP(M66,OFFSET(設定!$D$2:$I$25,0,AA66),6,FALSE)="-","-",LEFT(VLOOKUP(M66,OFFSET(設定!$D$2:$I$25,0,AA66),6,FALSE),INT(LEN(VLOOKUP(M66,OFFSET(設定!$D$2:$I$25,0,AA66),6,FALSE))-1))),IF(VLOOKUP(M66,OFFSET(設定!$D$2:$I$25,0,AA66),6,FALSE)="-","-",INT(VLOOKUP(M66,OFFSET(設定!$D$2:$I$25,0,AA66),6,FALSE)))))</f>
        <v/>
      </c>
      <c r="AD66">
        <f t="shared" si="10"/>
        <v>2</v>
      </c>
      <c r="AE66" t="str">
        <f t="shared" ca="1" si="93"/>
        <v/>
      </c>
      <c r="AF66" t="str">
        <f t="shared" ca="1" si="94"/>
        <v/>
      </c>
      <c r="AG66" t="str">
        <f t="shared" ca="1" si="95"/>
        <v/>
      </c>
      <c r="AH66" t="b">
        <f t="shared" ca="1" si="96"/>
        <v>1</v>
      </c>
      <c r="AI66" t="b">
        <f t="shared" ca="1" si="97"/>
        <v>0</v>
      </c>
      <c r="AJ66" t="b">
        <f t="shared" ca="1" si="98"/>
        <v>0</v>
      </c>
      <c r="AK66" t="b">
        <f t="shared" si="99"/>
        <v>0</v>
      </c>
      <c r="AL66" t="b">
        <f t="shared" si="100"/>
        <v>0</v>
      </c>
      <c r="AM66" t="b">
        <f t="shared" si="101"/>
        <v>0</v>
      </c>
      <c r="AN66" t="b">
        <f t="shared" si="102"/>
        <v>0</v>
      </c>
      <c r="AO66" t="b">
        <f>IF(COUNTIF($D$6:D65,F66&amp;G66&amp;W66)&gt;0,AK66,FALSE)</f>
        <v>0</v>
      </c>
      <c r="AP66" t="b">
        <f t="shared" ca="1" si="19"/>
        <v>0</v>
      </c>
      <c r="AQ66" t="b">
        <f t="shared" si="103"/>
        <v>0</v>
      </c>
      <c r="AR66" t="b">
        <f t="shared" si="104"/>
        <v>0</v>
      </c>
      <c r="AS66" t="b">
        <f t="shared" ca="1" si="105"/>
        <v>0</v>
      </c>
      <c r="AT66" t="b">
        <f t="shared" ca="1" si="106"/>
        <v>0</v>
      </c>
      <c r="AU66" t="b">
        <f ca="1">IF(COUNTIF(設定!$B$6:$B$11,SUMIF($B$6:B65,G66&amp;W66,$C$6:C65)+IF(AI66,10,IF(AJ66,1,0)))=1,FALSE,AK66)</f>
        <v>0</v>
      </c>
      <c r="AV66" t="b">
        <f t="shared" ca="1" si="107"/>
        <v>0</v>
      </c>
      <c r="AW66" t="b">
        <f t="shared" ca="1" si="108"/>
        <v>0</v>
      </c>
      <c r="AX66" t="b">
        <f t="shared" si="109"/>
        <v>0</v>
      </c>
      <c r="AY66" t="b">
        <f t="shared" si="110"/>
        <v>0</v>
      </c>
      <c r="AZ66" t="b">
        <f t="shared" si="111"/>
        <v>0</v>
      </c>
      <c r="BA66" t="b">
        <f>IF(AND(設定!$B$2&lt;=T66,T66&lt;=設定!$B$3),FALSE,AK66)</f>
        <v>0</v>
      </c>
      <c r="BC66">
        <f t="shared" ca="1" si="112"/>
        <v>0</v>
      </c>
      <c r="BD66">
        <f t="shared" si="28"/>
        <v>61</v>
      </c>
      <c r="BE66" t="str">
        <f t="shared" si="113"/>
        <v/>
      </c>
      <c r="BF66">
        <f>IF(BG66&lt;&gt;"",MAX($BF$6:BF65)+1,0)</f>
        <v>0</v>
      </c>
      <c r="BG66" t="str">
        <f>IF(BE66&lt;&gt;"",IF(COUNTIF($BE$6:BE65,BE66)&gt;0,"",BE66),"")</f>
        <v/>
      </c>
      <c r="BH66" t="str">
        <f t="shared" si="114"/>
        <v/>
      </c>
      <c r="BI66">
        <f>IF(BJ66&lt;&gt;"",MAX($BI$6:BI65)+1,0)</f>
        <v>0</v>
      </c>
      <c r="BJ66" t="str">
        <f>IF(BH66&lt;&gt;"",IF(COUNTIF($BE$6:BH65,BH66)&gt;0,"",BH66),"")</f>
        <v/>
      </c>
    </row>
    <row r="67" spans="1:62" ht="16.5" customHeight="1">
      <c r="A67" t="str">
        <f t="shared" si="85"/>
        <v/>
      </c>
      <c r="B67" t="str">
        <f t="shared" si="86"/>
        <v/>
      </c>
      <c r="C67">
        <f t="shared" ca="1" si="87"/>
        <v>0</v>
      </c>
      <c r="D67" t="str">
        <f t="shared" si="88"/>
        <v/>
      </c>
      <c r="E67">
        <f>IF(B67="",0,LARGE($E$5:E66,1)+1)</f>
        <v>0</v>
      </c>
      <c r="F67" s="44"/>
      <c r="G67" s="45"/>
      <c r="H67" s="7" t="str">
        <f>IF(AND(F67="",G67=""),"",VLOOKUP(学校情報!$B$5&amp;F67&amp;G67,選手データ!$A:$H,4,FALSE))</f>
        <v/>
      </c>
      <c r="I67" s="7" t="str">
        <f>IF(AND(F67="",G67=""),"",VLOOKUP(学校情報!$B$5&amp;F67&amp;G67,選手データ!$A:$H,5,FALSE))</f>
        <v/>
      </c>
      <c r="J67" s="8" t="str">
        <f>IF(AND(F67="",G67=""),"",VLOOKUP(学校情報!$B$5&amp;F67&amp;G67,選手データ!$A:$H,6,FALSE))</f>
        <v/>
      </c>
      <c r="K67" s="32" t="str">
        <f>IF(AND(F67="",G67=""),"",VLOOKUP(学校情報!$B$5&amp;F67&amp;G67,選手データ!$A:$H,8,FALSE))</f>
        <v/>
      </c>
      <c r="L67" s="7" t="str">
        <f>IF(AND(F67="",G67=""),"",VLOOKUP(学校情報!$B$5&amp;F67&amp;G67,選手データ!$A:$I,9,FALSE))</f>
        <v/>
      </c>
      <c r="M67" s="44"/>
      <c r="N67" s="46"/>
      <c r="O67" s="47"/>
      <c r="P67" s="7" t="str">
        <f t="shared" ca="1" si="89"/>
        <v/>
      </c>
      <c r="Q67" s="46"/>
      <c r="R67" s="48"/>
      <c r="S67" s="45"/>
      <c r="T67" s="49"/>
      <c r="U67" s="8" t="str">
        <f t="shared" ca="1" si="90"/>
        <v/>
      </c>
      <c r="V67" s="8" t="str">
        <f t="shared" si="91"/>
        <v/>
      </c>
      <c r="W67" s="4">
        <f t="shared" si="92"/>
        <v>0</v>
      </c>
      <c r="X67" t="b">
        <f ca="1">IF(M67="",FALSE,VLOOKUP(M67,OFFSET(設定!$D$2:$I$25,0,AA67),2,FALSE))</f>
        <v>0</v>
      </c>
      <c r="Y67" t="str">
        <f ca="1">IF(M67="","",VLOOKUP(M67,OFFSET(設定!$D$2:$I$25,0,AA67),3,FALSE))</f>
        <v/>
      </c>
      <c r="Z67" t="b">
        <f ca="1">IF(M67="",FALSE,VLOOKUP(M67,OFFSET(設定!$D$2:$I$25,0,AA67),4,FALSE))</f>
        <v>0</v>
      </c>
      <c r="AA67">
        <f t="shared" si="9"/>
        <v>7</v>
      </c>
      <c r="AB67" s="1" t="str">
        <f ca="1">IF(M67="","",IF(AND(Z67,N67="〇"),IF(VLOOKUP(M67,OFFSET(設定!$D$2:$I$25,0,AA67),5,FALSE)="-","-",LEFT(VLOOKUP(M67,OFFSET(設定!$D$2:$I$25,0,AA67),5,FALSE),INT(LEN(VLOOKUP(M67,OFFSET(設定!$D$2:$I$25,0,AA67),5,FALSE))-1))),IF(VLOOKUP(M67,OFFSET(設定!$D$2:$I$25,0,AA67),5,FALSE)="-","-",INT(VLOOKUP(M67,OFFSET(設定!$D$2:$I$25,0,AA67),5,FALSE)))))</f>
        <v/>
      </c>
      <c r="AC67" s="1" t="str">
        <f ca="1">IF(M67="","",IF(AND(Z67,N67="〇"),IF(VLOOKUP(M67,OFFSET(設定!$D$2:$I$25,0,AA67),6,FALSE)="-","-",LEFT(VLOOKUP(M67,OFFSET(設定!$D$2:$I$25,0,AA67),6,FALSE),INT(LEN(VLOOKUP(M67,OFFSET(設定!$D$2:$I$25,0,AA67),6,FALSE))-1))),IF(VLOOKUP(M67,OFFSET(設定!$D$2:$I$25,0,AA67),6,FALSE)="-","-",INT(VLOOKUP(M67,OFFSET(設定!$D$2:$I$25,0,AA67),6,FALSE)))))</f>
        <v/>
      </c>
      <c r="AD67">
        <f t="shared" si="10"/>
        <v>2</v>
      </c>
      <c r="AE67" t="str">
        <f t="shared" ca="1" si="93"/>
        <v/>
      </c>
      <c r="AF67" t="str">
        <f t="shared" ca="1" si="94"/>
        <v/>
      </c>
      <c r="AG67" t="str">
        <f t="shared" ca="1" si="95"/>
        <v/>
      </c>
      <c r="AH67" t="b">
        <f t="shared" ca="1" si="96"/>
        <v>1</v>
      </c>
      <c r="AI67" t="b">
        <f t="shared" ca="1" si="97"/>
        <v>0</v>
      </c>
      <c r="AJ67" t="b">
        <f t="shared" ca="1" si="98"/>
        <v>0</v>
      </c>
      <c r="AK67" t="b">
        <f t="shared" si="99"/>
        <v>0</v>
      </c>
      <c r="AL67" t="b">
        <f t="shared" si="100"/>
        <v>0</v>
      </c>
      <c r="AM67" t="b">
        <f t="shared" si="101"/>
        <v>0</v>
      </c>
      <c r="AN67" t="b">
        <f t="shared" si="102"/>
        <v>0</v>
      </c>
      <c r="AO67" t="b">
        <f>IF(COUNTIF($D$6:D66,F67&amp;G67&amp;W67)&gt;0,AK67,FALSE)</f>
        <v>0</v>
      </c>
      <c r="AP67" t="b">
        <f t="shared" ca="1" si="19"/>
        <v>0</v>
      </c>
      <c r="AQ67" t="b">
        <f t="shared" si="103"/>
        <v>0</v>
      </c>
      <c r="AR67" t="b">
        <f t="shared" si="104"/>
        <v>0</v>
      </c>
      <c r="AS67" t="b">
        <f t="shared" ca="1" si="105"/>
        <v>0</v>
      </c>
      <c r="AT67" t="b">
        <f t="shared" ca="1" si="106"/>
        <v>0</v>
      </c>
      <c r="AU67" t="b">
        <f ca="1">IF(COUNTIF(設定!$B$6:$B$11,SUMIF($B$6:B66,G67&amp;W67,$C$6:C66)+IF(AI67,10,IF(AJ67,1,0)))=1,FALSE,AK67)</f>
        <v>0</v>
      </c>
      <c r="AV67" t="b">
        <f t="shared" ca="1" si="107"/>
        <v>0</v>
      </c>
      <c r="AW67" t="b">
        <f t="shared" ca="1" si="108"/>
        <v>0</v>
      </c>
      <c r="AX67" t="b">
        <f t="shared" si="109"/>
        <v>0</v>
      </c>
      <c r="AY67" t="b">
        <f t="shared" si="110"/>
        <v>0</v>
      </c>
      <c r="AZ67" t="b">
        <f t="shared" si="111"/>
        <v>0</v>
      </c>
      <c r="BA67" t="b">
        <f>IF(AND(設定!$B$2&lt;=T67,T67&lt;=設定!$B$3),FALSE,AK67)</f>
        <v>0</v>
      </c>
      <c r="BC67">
        <f t="shared" ca="1" si="112"/>
        <v>0</v>
      </c>
      <c r="BD67">
        <f t="shared" si="28"/>
        <v>62</v>
      </c>
      <c r="BE67" t="str">
        <f t="shared" si="113"/>
        <v/>
      </c>
      <c r="BF67">
        <f>IF(BG67&lt;&gt;"",MAX($BF$6:BF66)+1,0)</f>
        <v>0</v>
      </c>
      <c r="BG67" t="str">
        <f>IF(BE67&lt;&gt;"",IF(COUNTIF($BE$6:BE66,BE67)&gt;0,"",BE67),"")</f>
        <v/>
      </c>
      <c r="BH67" t="str">
        <f t="shared" si="114"/>
        <v/>
      </c>
      <c r="BI67">
        <f>IF(BJ67&lt;&gt;"",MAX($BI$6:BI66)+1,0)</f>
        <v>0</v>
      </c>
      <c r="BJ67" t="str">
        <f>IF(BH67&lt;&gt;"",IF(COUNTIF($BE$6:BH66,BH67)&gt;0,"",BH67),"")</f>
        <v/>
      </c>
    </row>
    <row r="68" spans="1:62" ht="16.5" customHeight="1">
      <c r="A68" t="str">
        <f t="shared" si="85"/>
        <v/>
      </c>
      <c r="B68" t="str">
        <f t="shared" si="86"/>
        <v/>
      </c>
      <c r="C68">
        <f t="shared" ca="1" si="87"/>
        <v>0</v>
      </c>
      <c r="D68" t="str">
        <f t="shared" si="88"/>
        <v/>
      </c>
      <c r="E68">
        <f>IF(B68="",0,LARGE($E$5:E67,1)+1)</f>
        <v>0</v>
      </c>
      <c r="F68" s="44"/>
      <c r="G68" s="45"/>
      <c r="H68" s="7" t="str">
        <f>IF(AND(F68="",G68=""),"",VLOOKUP(学校情報!$B$5&amp;F68&amp;G68,選手データ!$A:$H,4,FALSE))</f>
        <v/>
      </c>
      <c r="I68" s="7" t="str">
        <f>IF(AND(F68="",G68=""),"",VLOOKUP(学校情報!$B$5&amp;F68&amp;G68,選手データ!$A:$H,5,FALSE))</f>
        <v/>
      </c>
      <c r="J68" s="8" t="str">
        <f>IF(AND(F68="",G68=""),"",VLOOKUP(学校情報!$B$5&amp;F68&amp;G68,選手データ!$A:$H,6,FALSE))</f>
        <v/>
      </c>
      <c r="K68" s="32" t="str">
        <f>IF(AND(F68="",G68=""),"",VLOOKUP(学校情報!$B$5&amp;F68&amp;G68,選手データ!$A:$H,8,FALSE))</f>
        <v/>
      </c>
      <c r="L68" s="7" t="str">
        <f>IF(AND(F68="",G68=""),"",VLOOKUP(学校情報!$B$5&amp;F68&amp;G68,選手データ!$A:$I,9,FALSE))</f>
        <v/>
      </c>
      <c r="M68" s="44"/>
      <c r="N68" s="46"/>
      <c r="O68" s="47"/>
      <c r="P68" s="7" t="str">
        <f t="shared" ca="1" si="89"/>
        <v/>
      </c>
      <c r="Q68" s="46"/>
      <c r="R68" s="48"/>
      <c r="S68" s="45"/>
      <c r="T68" s="49"/>
      <c r="U68" s="8" t="str">
        <f t="shared" ca="1" si="90"/>
        <v/>
      </c>
      <c r="V68" s="8" t="str">
        <f t="shared" si="91"/>
        <v/>
      </c>
      <c r="W68" s="4">
        <f t="shared" si="92"/>
        <v>0</v>
      </c>
      <c r="X68" t="b">
        <f ca="1">IF(M68="",FALSE,VLOOKUP(M68,OFFSET(設定!$D$2:$I$25,0,AA68),2,FALSE))</f>
        <v>0</v>
      </c>
      <c r="Y68" t="str">
        <f ca="1">IF(M68="","",VLOOKUP(M68,OFFSET(設定!$D$2:$I$25,0,AA68),3,FALSE))</f>
        <v/>
      </c>
      <c r="Z68" t="b">
        <f ca="1">IF(M68="",FALSE,VLOOKUP(M68,OFFSET(設定!$D$2:$I$25,0,AA68),4,FALSE))</f>
        <v>0</v>
      </c>
      <c r="AA68">
        <f t="shared" si="9"/>
        <v>7</v>
      </c>
      <c r="AB68" s="1" t="str">
        <f ca="1">IF(M68="","",IF(AND(Z68,N68="〇"),IF(VLOOKUP(M68,OFFSET(設定!$D$2:$I$25,0,AA68),5,FALSE)="-","-",LEFT(VLOOKUP(M68,OFFSET(設定!$D$2:$I$25,0,AA68),5,FALSE),INT(LEN(VLOOKUP(M68,OFFSET(設定!$D$2:$I$25,0,AA68),5,FALSE))-1))),IF(VLOOKUP(M68,OFFSET(設定!$D$2:$I$25,0,AA68),5,FALSE)="-","-",INT(VLOOKUP(M68,OFFSET(設定!$D$2:$I$25,0,AA68),5,FALSE)))))</f>
        <v/>
      </c>
      <c r="AC68" s="1" t="str">
        <f ca="1">IF(M68="","",IF(AND(Z68,N68="〇"),IF(VLOOKUP(M68,OFFSET(設定!$D$2:$I$25,0,AA68),6,FALSE)="-","-",LEFT(VLOOKUP(M68,OFFSET(設定!$D$2:$I$25,0,AA68),6,FALSE),INT(LEN(VLOOKUP(M68,OFFSET(設定!$D$2:$I$25,0,AA68),6,FALSE))-1))),IF(VLOOKUP(M68,OFFSET(設定!$D$2:$I$25,0,AA68),6,FALSE)="-","-",INT(VLOOKUP(M68,OFFSET(設定!$D$2:$I$25,0,AA68),6,FALSE)))))</f>
        <v/>
      </c>
      <c r="AD68">
        <f t="shared" si="10"/>
        <v>2</v>
      </c>
      <c r="AE68" t="str">
        <f t="shared" ca="1" si="93"/>
        <v/>
      </c>
      <c r="AF68" t="str">
        <f t="shared" ca="1" si="94"/>
        <v/>
      </c>
      <c r="AG68" t="str">
        <f t="shared" ca="1" si="95"/>
        <v/>
      </c>
      <c r="AH68" t="b">
        <f t="shared" ca="1" si="96"/>
        <v>1</v>
      </c>
      <c r="AI68" t="b">
        <f t="shared" ca="1" si="97"/>
        <v>0</v>
      </c>
      <c r="AJ68" t="b">
        <f t="shared" ca="1" si="98"/>
        <v>0</v>
      </c>
      <c r="AK68" t="b">
        <f t="shared" si="99"/>
        <v>0</v>
      </c>
      <c r="AL68" t="b">
        <f t="shared" si="100"/>
        <v>0</v>
      </c>
      <c r="AM68" t="b">
        <f t="shared" si="101"/>
        <v>0</v>
      </c>
      <c r="AN68" t="b">
        <f t="shared" si="102"/>
        <v>0</v>
      </c>
      <c r="AO68" t="b">
        <f>IF(COUNTIF($D$6:D67,F68&amp;G68&amp;W68)&gt;0,AK68,FALSE)</f>
        <v>0</v>
      </c>
      <c r="AP68" t="b">
        <f t="shared" ca="1" si="19"/>
        <v>0</v>
      </c>
      <c r="AQ68" t="b">
        <f t="shared" si="103"/>
        <v>0</v>
      </c>
      <c r="AR68" t="b">
        <f t="shared" si="104"/>
        <v>0</v>
      </c>
      <c r="AS68" t="b">
        <f t="shared" ca="1" si="105"/>
        <v>0</v>
      </c>
      <c r="AT68" t="b">
        <f t="shared" ca="1" si="106"/>
        <v>0</v>
      </c>
      <c r="AU68" t="b">
        <f ca="1">IF(COUNTIF(設定!$B$6:$B$11,SUMIF($B$6:B67,G68&amp;W68,$C$6:C67)+IF(AI68,10,IF(AJ68,1,0)))=1,FALSE,AK68)</f>
        <v>0</v>
      </c>
      <c r="AV68" t="b">
        <f t="shared" ca="1" si="107"/>
        <v>0</v>
      </c>
      <c r="AW68" t="b">
        <f t="shared" ca="1" si="108"/>
        <v>0</v>
      </c>
      <c r="AX68" t="b">
        <f t="shared" si="109"/>
        <v>0</v>
      </c>
      <c r="AY68" t="b">
        <f t="shared" si="110"/>
        <v>0</v>
      </c>
      <c r="AZ68" t="b">
        <f t="shared" si="111"/>
        <v>0</v>
      </c>
      <c r="BA68" t="b">
        <f>IF(AND(設定!$B$2&lt;=T68,T68&lt;=設定!$B$3),FALSE,AK68)</f>
        <v>0</v>
      </c>
      <c r="BC68">
        <f t="shared" ca="1" si="112"/>
        <v>0</v>
      </c>
      <c r="BD68">
        <f t="shared" si="28"/>
        <v>63</v>
      </c>
      <c r="BE68" t="str">
        <f t="shared" si="113"/>
        <v/>
      </c>
      <c r="BF68">
        <f>IF(BG68&lt;&gt;"",MAX($BF$6:BF67)+1,0)</f>
        <v>0</v>
      </c>
      <c r="BG68" t="str">
        <f>IF(BE68&lt;&gt;"",IF(COUNTIF($BE$6:BE67,BE68)&gt;0,"",BE68),"")</f>
        <v/>
      </c>
      <c r="BH68" t="str">
        <f t="shared" si="114"/>
        <v/>
      </c>
      <c r="BI68">
        <f>IF(BJ68&lt;&gt;"",MAX($BI$6:BI67)+1,0)</f>
        <v>0</v>
      </c>
      <c r="BJ68" t="str">
        <f>IF(BH68&lt;&gt;"",IF(COUNTIF($BE$6:BH67,BH68)&gt;0,"",BH68),"")</f>
        <v/>
      </c>
    </row>
    <row r="69" spans="1:62" ht="16.5" customHeight="1">
      <c r="A69" t="str">
        <f t="shared" si="85"/>
        <v/>
      </c>
      <c r="B69" t="str">
        <f t="shared" si="86"/>
        <v/>
      </c>
      <c r="C69">
        <f t="shared" ca="1" si="87"/>
        <v>0</v>
      </c>
      <c r="D69" t="str">
        <f t="shared" si="88"/>
        <v/>
      </c>
      <c r="E69">
        <f>IF(B69="",0,LARGE($E$5:E68,1)+1)</f>
        <v>0</v>
      </c>
      <c r="F69" s="44"/>
      <c r="G69" s="45"/>
      <c r="H69" s="7" t="str">
        <f>IF(AND(F69="",G69=""),"",VLOOKUP(学校情報!$B$5&amp;F69&amp;G69,選手データ!$A:$H,4,FALSE))</f>
        <v/>
      </c>
      <c r="I69" s="7" t="str">
        <f>IF(AND(F69="",G69=""),"",VLOOKUP(学校情報!$B$5&amp;F69&amp;G69,選手データ!$A:$H,5,FALSE))</f>
        <v/>
      </c>
      <c r="J69" s="8" t="str">
        <f>IF(AND(F69="",G69=""),"",VLOOKUP(学校情報!$B$5&amp;F69&amp;G69,選手データ!$A:$H,6,FALSE))</f>
        <v/>
      </c>
      <c r="K69" s="32" t="str">
        <f>IF(AND(F69="",G69=""),"",VLOOKUP(学校情報!$B$5&amp;F69&amp;G69,選手データ!$A:$H,8,FALSE))</f>
        <v/>
      </c>
      <c r="L69" s="7" t="str">
        <f>IF(AND(F69="",G69=""),"",VLOOKUP(学校情報!$B$5&amp;F69&amp;G69,選手データ!$A:$I,9,FALSE))</f>
        <v/>
      </c>
      <c r="M69" s="44"/>
      <c r="N69" s="46"/>
      <c r="O69" s="47"/>
      <c r="P69" s="7" t="str">
        <f t="shared" ca="1" si="89"/>
        <v/>
      </c>
      <c r="Q69" s="46"/>
      <c r="R69" s="48"/>
      <c r="S69" s="45"/>
      <c r="T69" s="49"/>
      <c r="U69" s="8" t="str">
        <f t="shared" ca="1" si="90"/>
        <v/>
      </c>
      <c r="V69" s="8" t="str">
        <f t="shared" si="91"/>
        <v/>
      </c>
      <c r="W69" s="4">
        <f t="shared" si="92"/>
        <v>0</v>
      </c>
      <c r="X69" t="b">
        <f ca="1">IF(M69="",FALSE,VLOOKUP(M69,OFFSET(設定!$D$2:$I$25,0,AA69),2,FALSE))</f>
        <v>0</v>
      </c>
      <c r="Y69" t="str">
        <f ca="1">IF(M69="","",VLOOKUP(M69,OFFSET(設定!$D$2:$I$25,0,AA69),3,FALSE))</f>
        <v/>
      </c>
      <c r="Z69" t="b">
        <f ca="1">IF(M69="",FALSE,VLOOKUP(M69,OFFSET(設定!$D$2:$I$25,0,AA69),4,FALSE))</f>
        <v>0</v>
      </c>
      <c r="AA69">
        <f t="shared" si="9"/>
        <v>7</v>
      </c>
      <c r="AB69" s="1" t="str">
        <f ca="1">IF(M69="","",IF(AND(Z69,N69="〇"),IF(VLOOKUP(M69,OFFSET(設定!$D$2:$I$25,0,AA69),5,FALSE)="-","-",LEFT(VLOOKUP(M69,OFFSET(設定!$D$2:$I$25,0,AA69),5,FALSE),INT(LEN(VLOOKUP(M69,OFFSET(設定!$D$2:$I$25,0,AA69),5,FALSE))-1))),IF(VLOOKUP(M69,OFFSET(設定!$D$2:$I$25,0,AA69),5,FALSE)="-","-",INT(VLOOKUP(M69,OFFSET(設定!$D$2:$I$25,0,AA69),5,FALSE)))))</f>
        <v/>
      </c>
      <c r="AC69" s="1" t="str">
        <f ca="1">IF(M69="","",IF(AND(Z69,N69="〇"),IF(VLOOKUP(M69,OFFSET(設定!$D$2:$I$25,0,AA69),6,FALSE)="-","-",LEFT(VLOOKUP(M69,OFFSET(設定!$D$2:$I$25,0,AA69),6,FALSE),INT(LEN(VLOOKUP(M69,OFFSET(設定!$D$2:$I$25,0,AA69),6,FALSE))-1))),IF(VLOOKUP(M69,OFFSET(設定!$D$2:$I$25,0,AA69),6,FALSE)="-","-",INT(VLOOKUP(M69,OFFSET(設定!$D$2:$I$25,0,AA69),6,FALSE)))))</f>
        <v/>
      </c>
      <c r="AD69">
        <f t="shared" si="10"/>
        <v>2</v>
      </c>
      <c r="AE69" t="str">
        <f t="shared" ca="1" si="93"/>
        <v/>
      </c>
      <c r="AF69" t="str">
        <f t="shared" ca="1" si="94"/>
        <v/>
      </c>
      <c r="AG69" t="str">
        <f t="shared" ca="1" si="95"/>
        <v/>
      </c>
      <c r="AH69" t="b">
        <f t="shared" ca="1" si="96"/>
        <v>1</v>
      </c>
      <c r="AI69" t="b">
        <f t="shared" ca="1" si="97"/>
        <v>0</v>
      </c>
      <c r="AJ69" t="b">
        <f t="shared" ca="1" si="98"/>
        <v>0</v>
      </c>
      <c r="AK69" t="b">
        <f t="shared" si="99"/>
        <v>0</v>
      </c>
      <c r="AL69" t="b">
        <f t="shared" si="100"/>
        <v>0</v>
      </c>
      <c r="AM69" t="b">
        <f t="shared" si="101"/>
        <v>0</v>
      </c>
      <c r="AN69" t="b">
        <f t="shared" si="102"/>
        <v>0</v>
      </c>
      <c r="AO69" t="b">
        <f>IF(COUNTIF($D$6:D68,F69&amp;G69&amp;W69)&gt;0,AK69,FALSE)</f>
        <v>0</v>
      </c>
      <c r="AP69" t="b">
        <f t="shared" ca="1" si="19"/>
        <v>0</v>
      </c>
      <c r="AQ69" t="b">
        <f t="shared" si="103"/>
        <v>0</v>
      </c>
      <c r="AR69" t="b">
        <f t="shared" si="104"/>
        <v>0</v>
      </c>
      <c r="AS69" t="b">
        <f t="shared" ca="1" si="105"/>
        <v>0</v>
      </c>
      <c r="AT69" t="b">
        <f t="shared" ca="1" si="106"/>
        <v>0</v>
      </c>
      <c r="AU69" t="b">
        <f ca="1">IF(COUNTIF(設定!$B$6:$B$11,SUMIF($B$6:B68,G69&amp;W69,$C$6:C68)+IF(AI69,10,IF(AJ69,1,0)))=1,FALSE,AK69)</f>
        <v>0</v>
      </c>
      <c r="AV69" t="b">
        <f t="shared" ca="1" si="107"/>
        <v>0</v>
      </c>
      <c r="AW69" t="b">
        <f t="shared" ca="1" si="108"/>
        <v>0</v>
      </c>
      <c r="AX69" t="b">
        <f t="shared" si="109"/>
        <v>0</v>
      </c>
      <c r="AY69" t="b">
        <f t="shared" si="110"/>
        <v>0</v>
      </c>
      <c r="AZ69" t="b">
        <f t="shared" si="111"/>
        <v>0</v>
      </c>
      <c r="BA69" t="b">
        <f>IF(AND(設定!$B$2&lt;=T69,T69&lt;=設定!$B$3),FALSE,AK69)</f>
        <v>0</v>
      </c>
      <c r="BC69">
        <f t="shared" ca="1" si="112"/>
        <v>0</v>
      </c>
      <c r="BD69">
        <f t="shared" si="28"/>
        <v>64</v>
      </c>
      <c r="BE69" t="str">
        <f t="shared" si="113"/>
        <v/>
      </c>
      <c r="BF69">
        <f>IF(BG69&lt;&gt;"",MAX($BF$6:BF68)+1,0)</f>
        <v>0</v>
      </c>
      <c r="BG69" t="str">
        <f>IF(BE69&lt;&gt;"",IF(COUNTIF($BE$6:BE68,BE69)&gt;0,"",BE69),"")</f>
        <v/>
      </c>
      <c r="BH69" t="str">
        <f t="shared" si="114"/>
        <v/>
      </c>
      <c r="BI69">
        <f>IF(BJ69&lt;&gt;"",MAX($BI$6:BI68)+1,0)</f>
        <v>0</v>
      </c>
      <c r="BJ69" t="str">
        <f>IF(BH69&lt;&gt;"",IF(COUNTIF($BE$6:BH68,BH69)&gt;0,"",BH69),"")</f>
        <v/>
      </c>
    </row>
    <row r="70" spans="1:62" ht="16.5" customHeight="1">
      <c r="A70" t="str">
        <f t="shared" si="85"/>
        <v/>
      </c>
      <c r="B70" t="str">
        <f t="shared" si="86"/>
        <v/>
      </c>
      <c r="C70">
        <f t="shared" ca="1" si="87"/>
        <v>0</v>
      </c>
      <c r="D70" t="str">
        <f t="shared" si="88"/>
        <v/>
      </c>
      <c r="E70">
        <f>IF(B70="",0,LARGE($E$5:E69,1)+1)</f>
        <v>0</v>
      </c>
      <c r="F70" s="44"/>
      <c r="G70" s="45"/>
      <c r="H70" s="7" t="str">
        <f>IF(AND(F70="",G70=""),"",VLOOKUP(学校情報!$B$5&amp;F70&amp;G70,選手データ!$A:$H,4,FALSE))</f>
        <v/>
      </c>
      <c r="I70" s="7" t="str">
        <f>IF(AND(F70="",G70=""),"",VLOOKUP(学校情報!$B$5&amp;F70&amp;G70,選手データ!$A:$H,5,FALSE))</f>
        <v/>
      </c>
      <c r="J70" s="8" t="str">
        <f>IF(AND(F70="",G70=""),"",VLOOKUP(学校情報!$B$5&amp;F70&amp;G70,選手データ!$A:$H,6,FALSE))</f>
        <v/>
      </c>
      <c r="K70" s="32" t="str">
        <f>IF(AND(F70="",G70=""),"",VLOOKUP(学校情報!$B$5&amp;F70&amp;G70,選手データ!$A:$H,8,FALSE))</f>
        <v/>
      </c>
      <c r="L70" s="7" t="str">
        <f>IF(AND(F70="",G70=""),"",VLOOKUP(学校情報!$B$5&amp;F70&amp;G70,選手データ!$A:$I,9,FALSE))</f>
        <v/>
      </c>
      <c r="M70" s="44"/>
      <c r="N70" s="46"/>
      <c r="O70" s="47"/>
      <c r="P70" s="7" t="str">
        <f t="shared" ca="1" si="89"/>
        <v/>
      </c>
      <c r="Q70" s="46"/>
      <c r="R70" s="48"/>
      <c r="S70" s="45"/>
      <c r="T70" s="49"/>
      <c r="U70" s="8" t="str">
        <f t="shared" ca="1" si="90"/>
        <v/>
      </c>
      <c r="V70" s="8" t="str">
        <f t="shared" si="91"/>
        <v/>
      </c>
      <c r="W70" s="4">
        <f t="shared" si="92"/>
        <v>0</v>
      </c>
      <c r="X70" t="b">
        <f ca="1">IF(M70="",FALSE,VLOOKUP(M70,OFFSET(設定!$D$2:$I$25,0,AA70),2,FALSE))</f>
        <v>0</v>
      </c>
      <c r="Y70" t="str">
        <f ca="1">IF(M70="","",VLOOKUP(M70,OFFSET(設定!$D$2:$I$25,0,AA70),3,FALSE))</f>
        <v/>
      </c>
      <c r="Z70" t="b">
        <f ca="1">IF(M70="",FALSE,VLOOKUP(M70,OFFSET(設定!$D$2:$I$25,0,AA70),4,FALSE))</f>
        <v>0</v>
      </c>
      <c r="AA70">
        <f t="shared" si="9"/>
        <v>7</v>
      </c>
      <c r="AB70" s="1" t="str">
        <f ca="1">IF(M70="","",IF(AND(Z70,N70="〇"),IF(VLOOKUP(M70,OFFSET(設定!$D$2:$I$25,0,AA70),5,FALSE)="-","-",LEFT(VLOOKUP(M70,OFFSET(設定!$D$2:$I$25,0,AA70),5,FALSE),INT(LEN(VLOOKUP(M70,OFFSET(設定!$D$2:$I$25,0,AA70),5,FALSE))-1))),IF(VLOOKUP(M70,OFFSET(設定!$D$2:$I$25,0,AA70),5,FALSE)="-","-",INT(VLOOKUP(M70,OFFSET(設定!$D$2:$I$25,0,AA70),5,FALSE)))))</f>
        <v/>
      </c>
      <c r="AC70" s="1" t="str">
        <f ca="1">IF(M70="","",IF(AND(Z70,N70="〇"),IF(VLOOKUP(M70,OFFSET(設定!$D$2:$I$25,0,AA70),6,FALSE)="-","-",LEFT(VLOOKUP(M70,OFFSET(設定!$D$2:$I$25,0,AA70),6,FALSE),INT(LEN(VLOOKUP(M70,OFFSET(設定!$D$2:$I$25,0,AA70),6,FALSE))-1))),IF(VLOOKUP(M70,OFFSET(設定!$D$2:$I$25,0,AA70),6,FALSE)="-","-",INT(VLOOKUP(M70,OFFSET(設定!$D$2:$I$25,0,AA70),6,FALSE)))))</f>
        <v/>
      </c>
      <c r="AD70">
        <f t="shared" si="10"/>
        <v>2</v>
      </c>
      <c r="AE70" t="str">
        <f t="shared" ca="1" si="93"/>
        <v/>
      </c>
      <c r="AF70" t="str">
        <f t="shared" ca="1" si="94"/>
        <v/>
      </c>
      <c r="AG70" t="str">
        <f t="shared" ca="1" si="95"/>
        <v/>
      </c>
      <c r="AH70" t="b">
        <f t="shared" ca="1" si="96"/>
        <v>1</v>
      </c>
      <c r="AI70" t="b">
        <f t="shared" ca="1" si="97"/>
        <v>0</v>
      </c>
      <c r="AJ70" t="b">
        <f t="shared" ca="1" si="98"/>
        <v>0</v>
      </c>
      <c r="AK70" t="b">
        <f t="shared" si="99"/>
        <v>0</v>
      </c>
      <c r="AL70" t="b">
        <f t="shared" si="100"/>
        <v>0</v>
      </c>
      <c r="AM70" t="b">
        <f t="shared" si="101"/>
        <v>0</v>
      </c>
      <c r="AN70" t="b">
        <f t="shared" si="102"/>
        <v>0</v>
      </c>
      <c r="AO70" t="b">
        <f>IF(COUNTIF($D$6:D69,F70&amp;G70&amp;W70)&gt;0,AK70,FALSE)</f>
        <v>0</v>
      </c>
      <c r="AP70" t="b">
        <f t="shared" ca="1" si="19"/>
        <v>0</v>
      </c>
      <c r="AQ70" t="b">
        <f t="shared" si="103"/>
        <v>0</v>
      </c>
      <c r="AR70" t="b">
        <f t="shared" si="104"/>
        <v>0</v>
      </c>
      <c r="AS70" t="b">
        <f t="shared" ca="1" si="105"/>
        <v>0</v>
      </c>
      <c r="AT70" t="b">
        <f t="shared" ca="1" si="106"/>
        <v>0</v>
      </c>
      <c r="AU70" t="b">
        <f ca="1">IF(COUNTIF(設定!$B$6:$B$11,SUMIF($B$6:B69,G70&amp;W70,$C$6:C69)+IF(AI70,10,IF(AJ70,1,0)))=1,FALSE,AK70)</f>
        <v>0</v>
      </c>
      <c r="AV70" t="b">
        <f t="shared" ca="1" si="107"/>
        <v>0</v>
      </c>
      <c r="AW70" t="b">
        <f t="shared" ca="1" si="108"/>
        <v>0</v>
      </c>
      <c r="AX70" t="b">
        <f t="shared" si="109"/>
        <v>0</v>
      </c>
      <c r="AY70" t="b">
        <f t="shared" si="110"/>
        <v>0</v>
      </c>
      <c r="AZ70" t="b">
        <f t="shared" si="111"/>
        <v>0</v>
      </c>
      <c r="BA70" t="b">
        <f>IF(AND(設定!$B$2&lt;=T70,T70&lt;=設定!$B$3),FALSE,AK70)</f>
        <v>0</v>
      </c>
      <c r="BC70">
        <f t="shared" ca="1" si="112"/>
        <v>0</v>
      </c>
      <c r="BD70">
        <f t="shared" si="28"/>
        <v>65</v>
      </c>
      <c r="BE70" t="str">
        <f t="shared" si="113"/>
        <v/>
      </c>
      <c r="BF70">
        <f>IF(BG70&lt;&gt;"",MAX($BF$6:BF69)+1,0)</f>
        <v>0</v>
      </c>
      <c r="BG70" t="str">
        <f>IF(BE70&lt;&gt;"",IF(COUNTIF($BE$6:BE69,BE70)&gt;0,"",BE70),"")</f>
        <v/>
      </c>
      <c r="BH70" t="str">
        <f t="shared" si="114"/>
        <v/>
      </c>
      <c r="BI70">
        <f>IF(BJ70&lt;&gt;"",MAX($BI$6:BI69)+1,0)</f>
        <v>0</v>
      </c>
      <c r="BJ70" t="str">
        <f>IF(BH70&lt;&gt;"",IF(COUNTIF($BE$6:BH69,BH70)&gt;0,"",BH70),"")</f>
        <v/>
      </c>
    </row>
    <row r="71" spans="1:62" ht="16.5" customHeight="1">
      <c r="A71" t="str">
        <f t="shared" si="85"/>
        <v/>
      </c>
      <c r="B71" t="str">
        <f t="shared" si="86"/>
        <v/>
      </c>
      <c r="C71">
        <f t="shared" ca="1" si="87"/>
        <v>0</v>
      </c>
      <c r="D71" t="str">
        <f t="shared" si="88"/>
        <v/>
      </c>
      <c r="E71">
        <f>IF(B71="",0,LARGE($E$5:E70,1)+1)</f>
        <v>0</v>
      </c>
      <c r="F71" s="44"/>
      <c r="G71" s="45"/>
      <c r="H71" s="7" t="str">
        <f>IF(AND(F71="",G71=""),"",VLOOKUP(学校情報!$B$5&amp;F71&amp;G71,選手データ!$A:$H,4,FALSE))</f>
        <v/>
      </c>
      <c r="I71" s="7" t="str">
        <f>IF(AND(F71="",G71=""),"",VLOOKUP(学校情報!$B$5&amp;F71&amp;G71,選手データ!$A:$H,5,FALSE))</f>
        <v/>
      </c>
      <c r="J71" s="8" t="str">
        <f>IF(AND(F71="",G71=""),"",VLOOKUP(学校情報!$B$5&amp;F71&amp;G71,選手データ!$A:$H,6,FALSE))</f>
        <v/>
      </c>
      <c r="K71" s="32" t="str">
        <f>IF(AND(F71="",G71=""),"",VLOOKUP(学校情報!$B$5&amp;F71&amp;G71,選手データ!$A:$H,8,FALSE))</f>
        <v/>
      </c>
      <c r="L71" s="7" t="str">
        <f>IF(AND(F71="",G71=""),"",VLOOKUP(学校情報!$B$5&amp;F71&amp;G71,選手データ!$A:$I,9,FALSE))</f>
        <v/>
      </c>
      <c r="M71" s="44"/>
      <c r="N71" s="46"/>
      <c r="O71" s="47"/>
      <c r="P71" s="7" t="str">
        <f t="shared" ca="1" si="89"/>
        <v/>
      </c>
      <c r="Q71" s="46"/>
      <c r="R71" s="48"/>
      <c r="S71" s="45"/>
      <c r="T71" s="49"/>
      <c r="U71" s="8" t="str">
        <f t="shared" ca="1" si="90"/>
        <v/>
      </c>
      <c r="V71" s="8" t="str">
        <f t="shared" si="91"/>
        <v/>
      </c>
      <c r="W71" s="4">
        <f t="shared" si="92"/>
        <v>0</v>
      </c>
      <c r="X71" t="b">
        <f ca="1">IF(M71="",FALSE,VLOOKUP(M71,OFFSET(設定!$D$2:$I$25,0,AA71),2,FALSE))</f>
        <v>0</v>
      </c>
      <c r="Y71" t="str">
        <f ca="1">IF(M71="","",VLOOKUP(M71,OFFSET(設定!$D$2:$I$25,0,AA71),3,FALSE))</f>
        <v/>
      </c>
      <c r="Z71" t="b">
        <f ca="1">IF(M71="",FALSE,VLOOKUP(M71,OFFSET(設定!$D$2:$I$25,0,AA71),4,FALSE))</f>
        <v>0</v>
      </c>
      <c r="AA71">
        <f t="shared" ref="AA71:AA119" si="115">IF(G71="男",0,7)</f>
        <v>7</v>
      </c>
      <c r="AB71" s="1" t="str">
        <f ca="1">IF(M71="","",IF(AND(Z71,N71="〇"),IF(VLOOKUP(M71,OFFSET(設定!$D$2:$I$25,0,AA71),5,FALSE)="-","-",LEFT(VLOOKUP(M71,OFFSET(設定!$D$2:$I$25,0,AA71),5,FALSE),INT(LEN(VLOOKUP(M71,OFFSET(設定!$D$2:$I$25,0,AA71),5,FALSE))-1))),IF(VLOOKUP(M71,OFFSET(設定!$D$2:$I$25,0,AA71),5,FALSE)="-","-",INT(VLOOKUP(M71,OFFSET(設定!$D$2:$I$25,0,AA71),5,FALSE)))))</f>
        <v/>
      </c>
      <c r="AC71" s="1" t="str">
        <f ca="1">IF(M71="","",IF(AND(Z71,N71="〇"),IF(VLOOKUP(M71,OFFSET(設定!$D$2:$I$25,0,AA71),6,FALSE)="-","-",LEFT(VLOOKUP(M71,OFFSET(設定!$D$2:$I$25,0,AA71),6,FALSE),INT(LEN(VLOOKUP(M71,OFFSET(設定!$D$2:$I$25,0,AA71),6,FALSE))-1))),IF(VLOOKUP(M71,OFFSET(設定!$D$2:$I$25,0,AA71),6,FALSE)="-","-",INT(VLOOKUP(M71,OFFSET(設定!$D$2:$I$25,0,AA71),6,FALSE)))))</f>
        <v/>
      </c>
      <c r="AD71">
        <f t="shared" ref="AD71:AD119" si="116">IF(N71="〇",IF(AND(Z71=TRUE,Y71="ミリ秒"),1,2),2)</f>
        <v>2</v>
      </c>
      <c r="AE71" t="str">
        <f t="shared" ca="1" si="93"/>
        <v/>
      </c>
      <c r="AF71" t="str">
        <f t="shared" ca="1" si="94"/>
        <v/>
      </c>
      <c r="AG71" t="str">
        <f t="shared" ca="1" si="95"/>
        <v/>
      </c>
      <c r="AH71" t="b">
        <f t="shared" ca="1" si="96"/>
        <v>1</v>
      </c>
      <c r="AI71" t="b">
        <f t="shared" ca="1" si="97"/>
        <v>0</v>
      </c>
      <c r="AJ71" t="b">
        <f t="shared" ca="1" si="98"/>
        <v>0</v>
      </c>
      <c r="AK71" t="b">
        <f t="shared" si="99"/>
        <v>0</v>
      </c>
      <c r="AL71" t="b">
        <f t="shared" si="100"/>
        <v>0</v>
      </c>
      <c r="AM71" t="b">
        <f t="shared" si="101"/>
        <v>0</v>
      </c>
      <c r="AN71" t="b">
        <f t="shared" si="102"/>
        <v>0</v>
      </c>
      <c r="AO71" t="b">
        <f>IF(COUNTIF($D$6:D70,F71&amp;G71&amp;W71)&gt;0,AK71,FALSE)</f>
        <v>0</v>
      </c>
      <c r="AP71" t="b">
        <f t="shared" ref="AP71:AP119" ca="1" si="117">IF(ISNA(X71),TRUE,FALSE)</f>
        <v>0</v>
      </c>
      <c r="AQ71" t="b">
        <f t="shared" si="103"/>
        <v>0</v>
      </c>
      <c r="AR71" t="b">
        <f t="shared" si="104"/>
        <v>0</v>
      </c>
      <c r="AS71" t="b">
        <f t="shared" ca="1" si="105"/>
        <v>0</v>
      </c>
      <c r="AT71" t="b">
        <f t="shared" ca="1" si="106"/>
        <v>0</v>
      </c>
      <c r="AU71" t="b">
        <f ca="1">IF(COUNTIF(設定!$B$6:$B$11,SUMIF($B$6:B70,G71&amp;W71,$C$6:C70)+IF(AI71,10,IF(AJ71,1,0)))=1,FALSE,AK71)</f>
        <v>0</v>
      </c>
      <c r="AV71" t="b">
        <f t="shared" ca="1" si="107"/>
        <v>0</v>
      </c>
      <c r="AW71" t="b">
        <f t="shared" ca="1" si="108"/>
        <v>0</v>
      </c>
      <c r="AX71" t="b">
        <f t="shared" si="109"/>
        <v>0</v>
      </c>
      <c r="AY71" t="b">
        <f t="shared" si="110"/>
        <v>0</v>
      </c>
      <c r="AZ71" t="b">
        <f t="shared" si="111"/>
        <v>0</v>
      </c>
      <c r="BA71" t="b">
        <f>IF(AND(設定!$B$2&lt;=T71,T71&lt;=設定!$B$3),FALSE,AK71)</f>
        <v>0</v>
      </c>
      <c r="BC71">
        <f t="shared" ca="1" si="112"/>
        <v>0</v>
      </c>
      <c r="BD71">
        <f t="shared" ref="BD71:BD119" si="118">ROW(BD71)-5</f>
        <v>66</v>
      </c>
      <c r="BE71" t="str">
        <f t="shared" si="113"/>
        <v/>
      </c>
      <c r="BF71">
        <f>IF(BG71&lt;&gt;"",MAX($BF$6:BF70)+1,0)</f>
        <v>0</v>
      </c>
      <c r="BG71" t="str">
        <f>IF(BE71&lt;&gt;"",IF(COUNTIF($BE$6:BE70,BE71)&gt;0,"",BE71),"")</f>
        <v/>
      </c>
      <c r="BH71" t="str">
        <f t="shared" si="114"/>
        <v/>
      </c>
      <c r="BI71">
        <f>IF(BJ71&lt;&gt;"",MAX($BI$6:BI70)+1,0)</f>
        <v>0</v>
      </c>
      <c r="BJ71" t="str">
        <f>IF(BH71&lt;&gt;"",IF(COUNTIF($BE$6:BH70,BH71)&gt;0,"",BH71),"")</f>
        <v/>
      </c>
    </row>
    <row r="72" spans="1:62" ht="16.5" customHeight="1">
      <c r="A72" t="str">
        <f t="shared" si="85"/>
        <v/>
      </c>
      <c r="B72" t="str">
        <f t="shared" si="86"/>
        <v/>
      </c>
      <c r="C72">
        <f t="shared" ca="1" si="87"/>
        <v>0</v>
      </c>
      <c r="D72" t="str">
        <f t="shared" si="88"/>
        <v/>
      </c>
      <c r="E72">
        <f>IF(B72="",0,LARGE($E$5:E71,1)+1)</f>
        <v>0</v>
      </c>
      <c r="F72" s="44"/>
      <c r="G72" s="45"/>
      <c r="H72" s="7" t="str">
        <f>IF(AND(F72="",G72=""),"",VLOOKUP(学校情報!$B$5&amp;F72&amp;G72,選手データ!$A:$H,4,FALSE))</f>
        <v/>
      </c>
      <c r="I72" s="7" t="str">
        <f>IF(AND(F72="",G72=""),"",VLOOKUP(学校情報!$B$5&amp;F72&amp;G72,選手データ!$A:$H,5,FALSE))</f>
        <v/>
      </c>
      <c r="J72" s="8" t="str">
        <f>IF(AND(F72="",G72=""),"",VLOOKUP(学校情報!$B$5&amp;F72&amp;G72,選手データ!$A:$H,6,FALSE))</f>
        <v/>
      </c>
      <c r="K72" s="32" t="str">
        <f>IF(AND(F72="",G72=""),"",VLOOKUP(学校情報!$B$5&amp;F72&amp;G72,選手データ!$A:$H,8,FALSE))</f>
        <v/>
      </c>
      <c r="L72" s="7" t="str">
        <f>IF(AND(F72="",G72=""),"",VLOOKUP(学校情報!$B$5&amp;F72&amp;G72,選手データ!$A:$I,9,FALSE))</f>
        <v/>
      </c>
      <c r="M72" s="44"/>
      <c r="N72" s="46"/>
      <c r="O72" s="47"/>
      <c r="P72" s="7" t="str">
        <f t="shared" ca="1" si="89"/>
        <v/>
      </c>
      <c r="Q72" s="46"/>
      <c r="R72" s="48"/>
      <c r="S72" s="45"/>
      <c r="T72" s="49"/>
      <c r="U72" s="8" t="str">
        <f t="shared" ca="1" si="90"/>
        <v/>
      </c>
      <c r="V72" s="8" t="str">
        <f t="shared" si="91"/>
        <v/>
      </c>
      <c r="W72" s="4">
        <f t="shared" si="92"/>
        <v>0</v>
      </c>
      <c r="X72" t="b">
        <f ca="1">IF(M72="",FALSE,VLOOKUP(M72,OFFSET(設定!$D$2:$I$25,0,AA72),2,FALSE))</f>
        <v>0</v>
      </c>
      <c r="Y72" t="str">
        <f ca="1">IF(M72="","",VLOOKUP(M72,OFFSET(設定!$D$2:$I$25,0,AA72),3,FALSE))</f>
        <v/>
      </c>
      <c r="Z72" t="b">
        <f ca="1">IF(M72="",FALSE,VLOOKUP(M72,OFFSET(設定!$D$2:$I$25,0,AA72),4,FALSE))</f>
        <v>0</v>
      </c>
      <c r="AA72">
        <f t="shared" si="115"/>
        <v>7</v>
      </c>
      <c r="AB72" s="1" t="str">
        <f ca="1">IF(M72="","",IF(AND(Z72,N72="〇"),IF(VLOOKUP(M72,OFFSET(設定!$D$2:$I$25,0,AA72),5,FALSE)="-","-",LEFT(VLOOKUP(M72,OFFSET(設定!$D$2:$I$25,0,AA72),5,FALSE),INT(LEN(VLOOKUP(M72,OFFSET(設定!$D$2:$I$25,0,AA72),5,FALSE))-1))),IF(VLOOKUP(M72,OFFSET(設定!$D$2:$I$25,0,AA72),5,FALSE)="-","-",INT(VLOOKUP(M72,OFFSET(設定!$D$2:$I$25,0,AA72),5,FALSE)))))</f>
        <v/>
      </c>
      <c r="AC72" s="1" t="str">
        <f ca="1">IF(M72="","",IF(AND(Z72,N72="〇"),IF(VLOOKUP(M72,OFFSET(設定!$D$2:$I$25,0,AA72),6,FALSE)="-","-",LEFT(VLOOKUP(M72,OFFSET(設定!$D$2:$I$25,0,AA72),6,FALSE),INT(LEN(VLOOKUP(M72,OFFSET(設定!$D$2:$I$25,0,AA72),6,FALSE))-1))),IF(VLOOKUP(M72,OFFSET(設定!$D$2:$I$25,0,AA72),6,FALSE)="-","-",INT(VLOOKUP(M72,OFFSET(設定!$D$2:$I$25,0,AA72),6,FALSE)))))</f>
        <v/>
      </c>
      <c r="AD72">
        <f t="shared" si="116"/>
        <v>2</v>
      </c>
      <c r="AE72" t="str">
        <f t="shared" ca="1" si="93"/>
        <v/>
      </c>
      <c r="AF72" t="str">
        <f t="shared" ca="1" si="94"/>
        <v/>
      </c>
      <c r="AG72" t="str">
        <f t="shared" ca="1" si="95"/>
        <v/>
      </c>
      <c r="AH72" t="b">
        <f t="shared" ca="1" si="96"/>
        <v>1</v>
      </c>
      <c r="AI72" t="b">
        <f t="shared" ca="1" si="97"/>
        <v>0</v>
      </c>
      <c r="AJ72" t="b">
        <f t="shared" ca="1" si="98"/>
        <v>0</v>
      </c>
      <c r="AK72" t="b">
        <f t="shared" si="99"/>
        <v>0</v>
      </c>
      <c r="AL72" t="b">
        <f t="shared" si="100"/>
        <v>0</v>
      </c>
      <c r="AM72" t="b">
        <f t="shared" si="101"/>
        <v>0</v>
      </c>
      <c r="AN72" t="b">
        <f t="shared" si="102"/>
        <v>0</v>
      </c>
      <c r="AO72" t="b">
        <f>IF(COUNTIF($D$6:D71,F72&amp;G72&amp;W72)&gt;0,AK72,FALSE)</f>
        <v>0</v>
      </c>
      <c r="AP72" t="b">
        <f t="shared" ca="1" si="117"/>
        <v>0</v>
      </c>
      <c r="AQ72" t="b">
        <f t="shared" si="103"/>
        <v>0</v>
      </c>
      <c r="AR72" t="b">
        <f t="shared" si="104"/>
        <v>0</v>
      </c>
      <c r="AS72" t="b">
        <f t="shared" ca="1" si="105"/>
        <v>0</v>
      </c>
      <c r="AT72" t="b">
        <f t="shared" ca="1" si="106"/>
        <v>0</v>
      </c>
      <c r="AU72" t="b">
        <f ca="1">IF(COUNTIF(設定!$B$6:$B$11,SUMIF($B$6:B71,G72&amp;W72,$C$6:C71)+IF(AI72,10,IF(AJ72,1,0)))=1,FALSE,AK72)</f>
        <v>0</v>
      </c>
      <c r="AV72" t="b">
        <f t="shared" ca="1" si="107"/>
        <v>0</v>
      </c>
      <c r="AW72" t="b">
        <f t="shared" ca="1" si="108"/>
        <v>0</v>
      </c>
      <c r="AX72" t="b">
        <f t="shared" si="109"/>
        <v>0</v>
      </c>
      <c r="AY72" t="b">
        <f t="shared" si="110"/>
        <v>0</v>
      </c>
      <c r="AZ72" t="b">
        <f t="shared" si="111"/>
        <v>0</v>
      </c>
      <c r="BA72" t="b">
        <f>IF(AND(設定!$B$2&lt;=T72,T72&lt;=設定!$B$3),FALSE,AK72)</f>
        <v>0</v>
      </c>
      <c r="BC72">
        <f t="shared" ca="1" si="112"/>
        <v>0</v>
      </c>
      <c r="BD72">
        <f t="shared" si="118"/>
        <v>67</v>
      </c>
      <c r="BE72" t="str">
        <f t="shared" si="113"/>
        <v/>
      </c>
      <c r="BF72">
        <f>IF(BG72&lt;&gt;"",MAX($BF$6:BF71)+1,0)</f>
        <v>0</v>
      </c>
      <c r="BG72" t="str">
        <f>IF(BE72&lt;&gt;"",IF(COUNTIF($BE$6:BE71,BE72)&gt;0,"",BE72),"")</f>
        <v/>
      </c>
      <c r="BH72" t="str">
        <f t="shared" si="114"/>
        <v/>
      </c>
      <c r="BI72">
        <f>IF(BJ72&lt;&gt;"",MAX($BI$6:BI71)+1,0)</f>
        <v>0</v>
      </c>
      <c r="BJ72" t="str">
        <f>IF(BH72&lt;&gt;"",IF(COUNTIF($BE$6:BH71,BH72)&gt;0,"",BH72),"")</f>
        <v/>
      </c>
    </row>
    <row r="73" spans="1:62" ht="16.5" customHeight="1">
      <c r="A73" t="str">
        <f t="shared" si="85"/>
        <v/>
      </c>
      <c r="B73" t="str">
        <f t="shared" si="86"/>
        <v/>
      </c>
      <c r="C73">
        <f t="shared" ca="1" si="87"/>
        <v>0</v>
      </c>
      <c r="D73" t="str">
        <f t="shared" si="88"/>
        <v/>
      </c>
      <c r="E73">
        <f>IF(B73="",0,LARGE($E$5:E72,1)+1)</f>
        <v>0</v>
      </c>
      <c r="F73" s="44"/>
      <c r="G73" s="45"/>
      <c r="H73" s="7" t="str">
        <f>IF(AND(F73="",G73=""),"",VLOOKUP(学校情報!$B$5&amp;F73&amp;G73,選手データ!$A:$H,4,FALSE))</f>
        <v/>
      </c>
      <c r="I73" s="7" t="str">
        <f>IF(AND(F73="",G73=""),"",VLOOKUP(学校情報!$B$5&amp;F73&amp;G73,選手データ!$A:$H,5,FALSE))</f>
        <v/>
      </c>
      <c r="J73" s="8" t="str">
        <f>IF(AND(F73="",G73=""),"",VLOOKUP(学校情報!$B$5&amp;F73&amp;G73,選手データ!$A:$H,6,FALSE))</f>
        <v/>
      </c>
      <c r="K73" s="32" t="str">
        <f>IF(AND(F73="",G73=""),"",VLOOKUP(学校情報!$B$5&amp;F73&amp;G73,選手データ!$A:$H,8,FALSE))</f>
        <v/>
      </c>
      <c r="L73" s="7" t="str">
        <f>IF(AND(F73="",G73=""),"",VLOOKUP(学校情報!$B$5&amp;F73&amp;G73,選手データ!$A:$I,9,FALSE))</f>
        <v/>
      </c>
      <c r="M73" s="44"/>
      <c r="N73" s="46"/>
      <c r="O73" s="47"/>
      <c r="P73" s="7" t="str">
        <f t="shared" ca="1" si="89"/>
        <v/>
      </c>
      <c r="Q73" s="46"/>
      <c r="R73" s="48"/>
      <c r="S73" s="45"/>
      <c r="T73" s="49"/>
      <c r="U73" s="8" t="str">
        <f t="shared" ca="1" si="90"/>
        <v/>
      </c>
      <c r="V73" s="8" t="str">
        <f t="shared" si="91"/>
        <v/>
      </c>
      <c r="W73" s="4">
        <f t="shared" si="92"/>
        <v>0</v>
      </c>
      <c r="X73" t="b">
        <f ca="1">IF(M73="",FALSE,VLOOKUP(M73,OFFSET(設定!$D$2:$I$25,0,AA73),2,FALSE))</f>
        <v>0</v>
      </c>
      <c r="Y73" t="str">
        <f ca="1">IF(M73="","",VLOOKUP(M73,OFFSET(設定!$D$2:$I$25,0,AA73),3,FALSE))</f>
        <v/>
      </c>
      <c r="Z73" t="b">
        <f ca="1">IF(M73="",FALSE,VLOOKUP(M73,OFFSET(設定!$D$2:$I$25,0,AA73),4,FALSE))</f>
        <v>0</v>
      </c>
      <c r="AA73">
        <f t="shared" si="115"/>
        <v>7</v>
      </c>
      <c r="AB73" s="1" t="str">
        <f ca="1">IF(M73="","",IF(AND(Z73,N73="〇"),IF(VLOOKUP(M73,OFFSET(設定!$D$2:$I$25,0,AA73),5,FALSE)="-","-",LEFT(VLOOKUP(M73,OFFSET(設定!$D$2:$I$25,0,AA73),5,FALSE),INT(LEN(VLOOKUP(M73,OFFSET(設定!$D$2:$I$25,0,AA73),5,FALSE))-1))),IF(VLOOKUP(M73,OFFSET(設定!$D$2:$I$25,0,AA73),5,FALSE)="-","-",INT(VLOOKUP(M73,OFFSET(設定!$D$2:$I$25,0,AA73),5,FALSE)))))</f>
        <v/>
      </c>
      <c r="AC73" s="1" t="str">
        <f ca="1">IF(M73="","",IF(AND(Z73,N73="〇"),IF(VLOOKUP(M73,OFFSET(設定!$D$2:$I$25,0,AA73),6,FALSE)="-","-",LEFT(VLOOKUP(M73,OFFSET(設定!$D$2:$I$25,0,AA73),6,FALSE),INT(LEN(VLOOKUP(M73,OFFSET(設定!$D$2:$I$25,0,AA73),6,FALSE))-1))),IF(VLOOKUP(M73,OFFSET(設定!$D$2:$I$25,0,AA73),6,FALSE)="-","-",INT(VLOOKUP(M73,OFFSET(設定!$D$2:$I$25,0,AA73),6,FALSE)))))</f>
        <v/>
      </c>
      <c r="AD73">
        <f t="shared" si="116"/>
        <v>2</v>
      </c>
      <c r="AE73" t="str">
        <f t="shared" ca="1" si="93"/>
        <v/>
      </c>
      <c r="AF73" t="str">
        <f t="shared" ca="1" si="94"/>
        <v/>
      </c>
      <c r="AG73" t="str">
        <f t="shared" ca="1" si="95"/>
        <v/>
      </c>
      <c r="AH73" t="b">
        <f t="shared" ca="1" si="96"/>
        <v>1</v>
      </c>
      <c r="AI73" t="b">
        <f t="shared" ca="1" si="97"/>
        <v>0</v>
      </c>
      <c r="AJ73" t="b">
        <f t="shared" ca="1" si="98"/>
        <v>0</v>
      </c>
      <c r="AK73" t="b">
        <f t="shared" si="99"/>
        <v>0</v>
      </c>
      <c r="AL73" t="b">
        <f t="shared" si="100"/>
        <v>0</v>
      </c>
      <c r="AM73" t="b">
        <f t="shared" si="101"/>
        <v>0</v>
      </c>
      <c r="AN73" t="b">
        <f t="shared" si="102"/>
        <v>0</v>
      </c>
      <c r="AO73" t="b">
        <f>IF(COUNTIF($D$6:D72,F73&amp;G73&amp;W73)&gt;0,AK73,FALSE)</f>
        <v>0</v>
      </c>
      <c r="AP73" t="b">
        <f t="shared" ca="1" si="117"/>
        <v>0</v>
      </c>
      <c r="AQ73" t="b">
        <f t="shared" si="103"/>
        <v>0</v>
      </c>
      <c r="AR73" t="b">
        <f t="shared" si="104"/>
        <v>0</v>
      </c>
      <c r="AS73" t="b">
        <f t="shared" ca="1" si="105"/>
        <v>0</v>
      </c>
      <c r="AT73" t="b">
        <f t="shared" ca="1" si="106"/>
        <v>0</v>
      </c>
      <c r="AU73" t="b">
        <f ca="1">IF(COUNTIF(設定!$B$6:$B$11,SUMIF($B$6:B72,G73&amp;W73,$C$6:C72)+IF(AI73,10,IF(AJ73,1,0)))=1,FALSE,AK73)</f>
        <v>0</v>
      </c>
      <c r="AV73" t="b">
        <f t="shared" ca="1" si="107"/>
        <v>0</v>
      </c>
      <c r="AW73" t="b">
        <f t="shared" ca="1" si="108"/>
        <v>0</v>
      </c>
      <c r="AX73" t="b">
        <f t="shared" si="109"/>
        <v>0</v>
      </c>
      <c r="AY73" t="b">
        <f t="shared" si="110"/>
        <v>0</v>
      </c>
      <c r="AZ73" t="b">
        <f t="shared" si="111"/>
        <v>0</v>
      </c>
      <c r="BA73" t="b">
        <f>IF(AND(設定!$B$2&lt;=T73,T73&lt;=設定!$B$3),FALSE,AK73)</f>
        <v>0</v>
      </c>
      <c r="BC73">
        <f t="shared" ca="1" si="112"/>
        <v>0</v>
      </c>
      <c r="BD73">
        <f t="shared" si="118"/>
        <v>68</v>
      </c>
      <c r="BE73" t="str">
        <f t="shared" si="113"/>
        <v/>
      </c>
      <c r="BF73">
        <f>IF(BG73&lt;&gt;"",MAX($BF$6:BF72)+1,0)</f>
        <v>0</v>
      </c>
      <c r="BG73" t="str">
        <f>IF(BE73&lt;&gt;"",IF(COUNTIF($BE$6:BE72,BE73)&gt;0,"",BE73),"")</f>
        <v/>
      </c>
      <c r="BH73" t="str">
        <f t="shared" si="114"/>
        <v/>
      </c>
      <c r="BI73">
        <f>IF(BJ73&lt;&gt;"",MAX($BI$6:BI72)+1,0)</f>
        <v>0</v>
      </c>
      <c r="BJ73" t="str">
        <f>IF(BH73&lt;&gt;"",IF(COUNTIF($BE$6:BH72,BH73)&gt;0,"",BH73),"")</f>
        <v/>
      </c>
    </row>
    <row r="74" spans="1:62" ht="16.5" customHeight="1">
      <c r="A74" t="str">
        <f t="shared" si="85"/>
        <v/>
      </c>
      <c r="B74" t="str">
        <f t="shared" si="86"/>
        <v/>
      </c>
      <c r="C74">
        <f t="shared" ca="1" si="87"/>
        <v>0</v>
      </c>
      <c r="D74" t="str">
        <f t="shared" si="88"/>
        <v/>
      </c>
      <c r="E74">
        <f>IF(B74="",0,LARGE($E$5:E73,1)+1)</f>
        <v>0</v>
      </c>
      <c r="F74" s="44"/>
      <c r="G74" s="45"/>
      <c r="H74" s="7" t="str">
        <f>IF(AND(F74="",G74=""),"",VLOOKUP(学校情報!$B$5&amp;F74&amp;G74,選手データ!$A:$H,4,FALSE))</f>
        <v/>
      </c>
      <c r="I74" s="7" t="str">
        <f>IF(AND(F74="",G74=""),"",VLOOKUP(学校情報!$B$5&amp;F74&amp;G74,選手データ!$A:$H,5,FALSE))</f>
        <v/>
      </c>
      <c r="J74" s="8" t="str">
        <f>IF(AND(F74="",G74=""),"",VLOOKUP(学校情報!$B$5&amp;F74&amp;G74,選手データ!$A:$H,6,FALSE))</f>
        <v/>
      </c>
      <c r="K74" s="32" t="str">
        <f>IF(AND(F74="",G74=""),"",VLOOKUP(学校情報!$B$5&amp;F74&amp;G74,選手データ!$A:$H,8,FALSE))</f>
        <v/>
      </c>
      <c r="L74" s="7" t="str">
        <f>IF(AND(F74="",G74=""),"",VLOOKUP(学校情報!$B$5&amp;F74&amp;G74,選手データ!$A:$I,9,FALSE))</f>
        <v/>
      </c>
      <c r="M74" s="44"/>
      <c r="N74" s="46"/>
      <c r="O74" s="47"/>
      <c r="P74" s="7" t="str">
        <f t="shared" ca="1" si="89"/>
        <v/>
      </c>
      <c r="Q74" s="46"/>
      <c r="R74" s="48"/>
      <c r="S74" s="45"/>
      <c r="T74" s="49"/>
      <c r="U74" s="8" t="str">
        <f t="shared" ca="1" si="90"/>
        <v/>
      </c>
      <c r="V74" s="8" t="str">
        <f t="shared" si="91"/>
        <v/>
      </c>
      <c r="W74" s="4">
        <f t="shared" si="92"/>
        <v>0</v>
      </c>
      <c r="X74" t="b">
        <f ca="1">IF(M74="",FALSE,VLOOKUP(M74,OFFSET(設定!$D$2:$I$25,0,AA74),2,FALSE))</f>
        <v>0</v>
      </c>
      <c r="Y74" t="str">
        <f ca="1">IF(M74="","",VLOOKUP(M74,OFFSET(設定!$D$2:$I$25,0,AA74),3,FALSE))</f>
        <v/>
      </c>
      <c r="Z74" t="b">
        <f ca="1">IF(M74="",FALSE,VLOOKUP(M74,OFFSET(設定!$D$2:$I$25,0,AA74),4,FALSE))</f>
        <v>0</v>
      </c>
      <c r="AA74">
        <f t="shared" si="115"/>
        <v>7</v>
      </c>
      <c r="AB74" s="1" t="str">
        <f ca="1">IF(M74="","",IF(AND(Z74,N74="〇"),IF(VLOOKUP(M74,OFFSET(設定!$D$2:$I$25,0,AA74),5,FALSE)="-","-",LEFT(VLOOKUP(M74,OFFSET(設定!$D$2:$I$25,0,AA74),5,FALSE),INT(LEN(VLOOKUP(M74,OFFSET(設定!$D$2:$I$25,0,AA74),5,FALSE))-1))),IF(VLOOKUP(M74,OFFSET(設定!$D$2:$I$25,0,AA74),5,FALSE)="-","-",INT(VLOOKUP(M74,OFFSET(設定!$D$2:$I$25,0,AA74),5,FALSE)))))</f>
        <v/>
      </c>
      <c r="AC74" s="1" t="str">
        <f ca="1">IF(M74="","",IF(AND(Z74,N74="〇"),IF(VLOOKUP(M74,OFFSET(設定!$D$2:$I$25,0,AA74),6,FALSE)="-","-",LEFT(VLOOKUP(M74,OFFSET(設定!$D$2:$I$25,0,AA74),6,FALSE),INT(LEN(VLOOKUP(M74,OFFSET(設定!$D$2:$I$25,0,AA74),6,FALSE))-1))),IF(VLOOKUP(M74,OFFSET(設定!$D$2:$I$25,0,AA74),6,FALSE)="-","-",INT(VLOOKUP(M74,OFFSET(設定!$D$2:$I$25,0,AA74),6,FALSE)))))</f>
        <v/>
      </c>
      <c r="AD74">
        <f t="shared" si="116"/>
        <v>2</v>
      </c>
      <c r="AE74" t="str">
        <f t="shared" ca="1" si="93"/>
        <v/>
      </c>
      <c r="AF74" t="str">
        <f t="shared" ca="1" si="94"/>
        <v/>
      </c>
      <c r="AG74" t="str">
        <f t="shared" ca="1" si="95"/>
        <v/>
      </c>
      <c r="AH74" t="b">
        <f t="shared" ca="1" si="96"/>
        <v>1</v>
      </c>
      <c r="AI74" t="b">
        <f t="shared" ca="1" si="97"/>
        <v>0</v>
      </c>
      <c r="AJ74" t="b">
        <f t="shared" ca="1" si="98"/>
        <v>0</v>
      </c>
      <c r="AK74" t="b">
        <f t="shared" si="99"/>
        <v>0</v>
      </c>
      <c r="AL74" t="b">
        <f t="shared" si="100"/>
        <v>0</v>
      </c>
      <c r="AM74" t="b">
        <f t="shared" si="101"/>
        <v>0</v>
      </c>
      <c r="AN74" t="b">
        <f t="shared" si="102"/>
        <v>0</v>
      </c>
      <c r="AO74" t="b">
        <f>IF(COUNTIF($D$6:D73,F74&amp;G74&amp;W74)&gt;0,AK74,FALSE)</f>
        <v>0</v>
      </c>
      <c r="AP74" t="b">
        <f t="shared" ca="1" si="117"/>
        <v>0</v>
      </c>
      <c r="AQ74" t="b">
        <f t="shared" si="103"/>
        <v>0</v>
      </c>
      <c r="AR74" t="b">
        <f t="shared" si="104"/>
        <v>0</v>
      </c>
      <c r="AS74" t="b">
        <f t="shared" ca="1" si="105"/>
        <v>0</v>
      </c>
      <c r="AT74" t="b">
        <f t="shared" ca="1" si="106"/>
        <v>0</v>
      </c>
      <c r="AU74" t="b">
        <f ca="1">IF(COUNTIF(設定!$B$6:$B$11,SUMIF($B$6:B73,G74&amp;W74,$C$6:C73)+IF(AI74,10,IF(AJ74,1,0)))=1,FALSE,AK74)</f>
        <v>0</v>
      </c>
      <c r="AV74" t="b">
        <f t="shared" ca="1" si="107"/>
        <v>0</v>
      </c>
      <c r="AW74" t="b">
        <f t="shared" ca="1" si="108"/>
        <v>0</v>
      </c>
      <c r="AX74" t="b">
        <f t="shared" si="109"/>
        <v>0</v>
      </c>
      <c r="AY74" t="b">
        <f t="shared" si="110"/>
        <v>0</v>
      </c>
      <c r="AZ74" t="b">
        <f t="shared" si="111"/>
        <v>0</v>
      </c>
      <c r="BA74" t="b">
        <f>IF(AND(設定!$B$2&lt;=T74,T74&lt;=設定!$B$3),FALSE,AK74)</f>
        <v>0</v>
      </c>
      <c r="BC74">
        <f t="shared" ca="1" si="112"/>
        <v>0</v>
      </c>
      <c r="BD74">
        <f t="shared" si="118"/>
        <v>69</v>
      </c>
      <c r="BE74" t="str">
        <f t="shared" si="113"/>
        <v/>
      </c>
      <c r="BF74">
        <f>IF(BG74&lt;&gt;"",MAX($BF$6:BF73)+1,0)</f>
        <v>0</v>
      </c>
      <c r="BG74" t="str">
        <f>IF(BE74&lt;&gt;"",IF(COUNTIF($BE$6:BE73,BE74)&gt;0,"",BE74),"")</f>
        <v/>
      </c>
      <c r="BH74" t="str">
        <f t="shared" si="114"/>
        <v/>
      </c>
      <c r="BI74">
        <f>IF(BJ74&lt;&gt;"",MAX($BI$6:BI73)+1,0)</f>
        <v>0</v>
      </c>
      <c r="BJ74" t="str">
        <f>IF(BH74&lt;&gt;"",IF(COUNTIF($BE$6:BH73,BH74)&gt;0,"",BH74),"")</f>
        <v/>
      </c>
    </row>
    <row r="75" spans="1:62" ht="16.5" customHeight="1">
      <c r="A75" t="str">
        <f t="shared" si="85"/>
        <v/>
      </c>
      <c r="B75" t="str">
        <f t="shared" si="86"/>
        <v/>
      </c>
      <c r="C75">
        <f t="shared" ca="1" si="87"/>
        <v>0</v>
      </c>
      <c r="D75" t="str">
        <f t="shared" si="88"/>
        <v/>
      </c>
      <c r="E75">
        <f>IF(B75="",0,LARGE($E$5:E74,1)+1)</f>
        <v>0</v>
      </c>
      <c r="F75" s="44"/>
      <c r="G75" s="45"/>
      <c r="H75" s="7" t="str">
        <f>IF(AND(F75="",G75=""),"",VLOOKUP(学校情報!$B$5&amp;F75&amp;G75,選手データ!$A:$H,4,FALSE))</f>
        <v/>
      </c>
      <c r="I75" s="7" t="str">
        <f>IF(AND(F75="",G75=""),"",VLOOKUP(学校情報!$B$5&amp;F75&amp;G75,選手データ!$A:$H,5,FALSE))</f>
        <v/>
      </c>
      <c r="J75" s="8" t="str">
        <f>IF(AND(F75="",G75=""),"",VLOOKUP(学校情報!$B$5&amp;F75&amp;G75,選手データ!$A:$H,6,FALSE))</f>
        <v/>
      </c>
      <c r="K75" s="32" t="str">
        <f>IF(AND(F75="",G75=""),"",VLOOKUP(学校情報!$B$5&amp;F75&amp;G75,選手データ!$A:$H,8,FALSE))</f>
        <v/>
      </c>
      <c r="L75" s="7" t="str">
        <f>IF(AND(F75="",G75=""),"",VLOOKUP(学校情報!$B$5&amp;F75&amp;G75,選手データ!$A:$I,9,FALSE))</f>
        <v/>
      </c>
      <c r="M75" s="44"/>
      <c r="N75" s="46"/>
      <c r="O75" s="47"/>
      <c r="P75" s="7" t="str">
        <f t="shared" ca="1" si="89"/>
        <v/>
      </c>
      <c r="Q75" s="46"/>
      <c r="R75" s="48"/>
      <c r="S75" s="45"/>
      <c r="T75" s="49"/>
      <c r="U75" s="8" t="str">
        <f t="shared" ca="1" si="90"/>
        <v/>
      </c>
      <c r="V75" s="8" t="str">
        <f t="shared" si="91"/>
        <v/>
      </c>
      <c r="W75" s="4">
        <f t="shared" si="92"/>
        <v>0</v>
      </c>
      <c r="X75" t="b">
        <f ca="1">IF(M75="",FALSE,VLOOKUP(M75,OFFSET(設定!$D$2:$I$25,0,AA75),2,FALSE))</f>
        <v>0</v>
      </c>
      <c r="Y75" t="str">
        <f ca="1">IF(M75="","",VLOOKUP(M75,OFFSET(設定!$D$2:$I$25,0,AA75),3,FALSE))</f>
        <v/>
      </c>
      <c r="Z75" t="b">
        <f ca="1">IF(M75="",FALSE,VLOOKUP(M75,OFFSET(設定!$D$2:$I$25,0,AA75),4,FALSE))</f>
        <v>0</v>
      </c>
      <c r="AA75">
        <f t="shared" si="115"/>
        <v>7</v>
      </c>
      <c r="AB75" s="1" t="str">
        <f ca="1">IF(M75="","",IF(AND(Z75,N75="〇"),IF(VLOOKUP(M75,OFFSET(設定!$D$2:$I$25,0,AA75),5,FALSE)="-","-",LEFT(VLOOKUP(M75,OFFSET(設定!$D$2:$I$25,0,AA75),5,FALSE),INT(LEN(VLOOKUP(M75,OFFSET(設定!$D$2:$I$25,0,AA75),5,FALSE))-1))),IF(VLOOKUP(M75,OFFSET(設定!$D$2:$I$25,0,AA75),5,FALSE)="-","-",INT(VLOOKUP(M75,OFFSET(設定!$D$2:$I$25,0,AA75),5,FALSE)))))</f>
        <v/>
      </c>
      <c r="AC75" s="1" t="str">
        <f ca="1">IF(M75="","",IF(AND(Z75,N75="〇"),IF(VLOOKUP(M75,OFFSET(設定!$D$2:$I$25,0,AA75),6,FALSE)="-","-",LEFT(VLOOKUP(M75,OFFSET(設定!$D$2:$I$25,0,AA75),6,FALSE),INT(LEN(VLOOKUP(M75,OFFSET(設定!$D$2:$I$25,0,AA75),6,FALSE))-1))),IF(VLOOKUP(M75,OFFSET(設定!$D$2:$I$25,0,AA75),6,FALSE)="-","-",INT(VLOOKUP(M75,OFFSET(設定!$D$2:$I$25,0,AA75),6,FALSE)))))</f>
        <v/>
      </c>
      <c r="AD75">
        <f t="shared" si="116"/>
        <v>2</v>
      </c>
      <c r="AE75" t="str">
        <f t="shared" ca="1" si="93"/>
        <v/>
      </c>
      <c r="AF75" t="str">
        <f t="shared" ca="1" si="94"/>
        <v/>
      </c>
      <c r="AG75" t="str">
        <f t="shared" ca="1" si="95"/>
        <v/>
      </c>
      <c r="AH75" t="b">
        <f t="shared" ca="1" si="96"/>
        <v>1</v>
      </c>
      <c r="AI75" t="b">
        <f t="shared" ca="1" si="97"/>
        <v>0</v>
      </c>
      <c r="AJ75" t="b">
        <f t="shared" ca="1" si="98"/>
        <v>0</v>
      </c>
      <c r="AK75" t="b">
        <f t="shared" si="99"/>
        <v>0</v>
      </c>
      <c r="AL75" t="b">
        <f t="shared" si="100"/>
        <v>0</v>
      </c>
      <c r="AM75" t="b">
        <f t="shared" si="101"/>
        <v>0</v>
      </c>
      <c r="AN75" t="b">
        <f t="shared" si="102"/>
        <v>0</v>
      </c>
      <c r="AO75" t="b">
        <f>IF(COUNTIF($D$6:D74,F75&amp;G75&amp;W75)&gt;0,AK75,FALSE)</f>
        <v>0</v>
      </c>
      <c r="AP75" t="b">
        <f t="shared" ca="1" si="117"/>
        <v>0</v>
      </c>
      <c r="AQ75" t="b">
        <f t="shared" si="103"/>
        <v>0</v>
      </c>
      <c r="AR75" t="b">
        <f t="shared" si="104"/>
        <v>0</v>
      </c>
      <c r="AS75" t="b">
        <f t="shared" ca="1" si="105"/>
        <v>0</v>
      </c>
      <c r="AT75" t="b">
        <f t="shared" ca="1" si="106"/>
        <v>0</v>
      </c>
      <c r="AU75" t="b">
        <f ca="1">IF(COUNTIF(設定!$B$6:$B$11,SUMIF($B$6:B74,G75&amp;W75,$C$6:C74)+IF(AI75,10,IF(AJ75,1,0)))=1,FALSE,AK75)</f>
        <v>0</v>
      </c>
      <c r="AV75" t="b">
        <f t="shared" ca="1" si="107"/>
        <v>0</v>
      </c>
      <c r="AW75" t="b">
        <f t="shared" ca="1" si="108"/>
        <v>0</v>
      </c>
      <c r="AX75" t="b">
        <f t="shared" si="109"/>
        <v>0</v>
      </c>
      <c r="AY75" t="b">
        <f t="shared" si="110"/>
        <v>0</v>
      </c>
      <c r="AZ75" t="b">
        <f t="shared" si="111"/>
        <v>0</v>
      </c>
      <c r="BA75" t="b">
        <f>IF(AND(設定!$B$2&lt;=T75,T75&lt;=設定!$B$3),FALSE,AK75)</f>
        <v>0</v>
      </c>
      <c r="BC75">
        <f t="shared" ca="1" si="112"/>
        <v>0</v>
      </c>
      <c r="BD75">
        <f t="shared" si="118"/>
        <v>70</v>
      </c>
      <c r="BE75" t="str">
        <f t="shared" si="113"/>
        <v/>
      </c>
      <c r="BF75">
        <f>IF(BG75&lt;&gt;"",MAX($BF$6:BF74)+1,0)</f>
        <v>0</v>
      </c>
      <c r="BG75" t="str">
        <f>IF(BE75&lt;&gt;"",IF(COUNTIF($BE$6:BE74,BE75)&gt;0,"",BE75),"")</f>
        <v/>
      </c>
      <c r="BH75" t="str">
        <f t="shared" si="114"/>
        <v/>
      </c>
      <c r="BI75">
        <f>IF(BJ75&lt;&gt;"",MAX($BI$6:BI74)+1,0)</f>
        <v>0</v>
      </c>
      <c r="BJ75" t="str">
        <f>IF(BH75&lt;&gt;"",IF(COUNTIF($BE$6:BH74,BH75)&gt;0,"",BH75),"")</f>
        <v/>
      </c>
    </row>
    <row r="76" spans="1:62" ht="16.5" customHeight="1">
      <c r="A76" t="str">
        <f t="shared" si="85"/>
        <v/>
      </c>
      <c r="B76" t="str">
        <f t="shared" si="86"/>
        <v/>
      </c>
      <c r="C76">
        <f t="shared" ca="1" si="87"/>
        <v>0</v>
      </c>
      <c r="D76" t="str">
        <f t="shared" si="88"/>
        <v/>
      </c>
      <c r="E76">
        <f>IF(B76="",0,LARGE($E$5:E75,1)+1)</f>
        <v>0</v>
      </c>
      <c r="F76" s="44"/>
      <c r="G76" s="45"/>
      <c r="H76" s="7" t="str">
        <f>IF(AND(F76="",G76=""),"",VLOOKUP(学校情報!$B$5&amp;F76&amp;G76,選手データ!$A:$H,4,FALSE))</f>
        <v/>
      </c>
      <c r="I76" s="7" t="str">
        <f>IF(AND(F76="",G76=""),"",VLOOKUP(学校情報!$B$5&amp;F76&amp;G76,選手データ!$A:$H,5,FALSE))</f>
        <v/>
      </c>
      <c r="J76" s="8" t="str">
        <f>IF(AND(F76="",G76=""),"",VLOOKUP(学校情報!$B$5&amp;F76&amp;G76,選手データ!$A:$H,6,FALSE))</f>
        <v/>
      </c>
      <c r="K76" s="32" t="str">
        <f>IF(AND(F76="",G76=""),"",VLOOKUP(学校情報!$B$5&amp;F76&amp;G76,選手データ!$A:$H,8,FALSE))</f>
        <v/>
      </c>
      <c r="L76" s="7" t="str">
        <f>IF(AND(F76="",G76=""),"",VLOOKUP(学校情報!$B$5&amp;F76&amp;G76,選手データ!$A:$I,9,FALSE))</f>
        <v/>
      </c>
      <c r="M76" s="44"/>
      <c r="N76" s="46"/>
      <c r="O76" s="47"/>
      <c r="P76" s="7" t="str">
        <f t="shared" ca="1" si="89"/>
        <v/>
      </c>
      <c r="Q76" s="46"/>
      <c r="R76" s="48"/>
      <c r="S76" s="45"/>
      <c r="T76" s="49"/>
      <c r="U76" s="8" t="str">
        <f t="shared" ca="1" si="90"/>
        <v/>
      </c>
      <c r="V76" s="8" t="str">
        <f t="shared" si="91"/>
        <v/>
      </c>
      <c r="W76" s="4">
        <f t="shared" si="92"/>
        <v>0</v>
      </c>
      <c r="X76" t="b">
        <f ca="1">IF(M76="",FALSE,VLOOKUP(M76,OFFSET(設定!$D$2:$I$25,0,AA76),2,FALSE))</f>
        <v>0</v>
      </c>
      <c r="Y76" t="str">
        <f ca="1">IF(M76="","",VLOOKUP(M76,OFFSET(設定!$D$2:$I$25,0,AA76),3,FALSE))</f>
        <v/>
      </c>
      <c r="Z76" t="b">
        <f ca="1">IF(M76="",FALSE,VLOOKUP(M76,OFFSET(設定!$D$2:$I$25,0,AA76),4,FALSE))</f>
        <v>0</v>
      </c>
      <c r="AA76">
        <f t="shared" si="115"/>
        <v>7</v>
      </c>
      <c r="AB76" s="1" t="str">
        <f ca="1">IF(M76="","",IF(AND(Z76,N76="〇"),IF(VLOOKUP(M76,OFFSET(設定!$D$2:$I$25,0,AA76),5,FALSE)="-","-",LEFT(VLOOKUP(M76,OFFSET(設定!$D$2:$I$25,0,AA76),5,FALSE),INT(LEN(VLOOKUP(M76,OFFSET(設定!$D$2:$I$25,0,AA76),5,FALSE))-1))),IF(VLOOKUP(M76,OFFSET(設定!$D$2:$I$25,0,AA76),5,FALSE)="-","-",INT(VLOOKUP(M76,OFFSET(設定!$D$2:$I$25,0,AA76),5,FALSE)))))</f>
        <v/>
      </c>
      <c r="AC76" s="1" t="str">
        <f ca="1">IF(M76="","",IF(AND(Z76,N76="〇"),IF(VLOOKUP(M76,OFFSET(設定!$D$2:$I$25,0,AA76),6,FALSE)="-","-",LEFT(VLOOKUP(M76,OFFSET(設定!$D$2:$I$25,0,AA76),6,FALSE),INT(LEN(VLOOKUP(M76,OFFSET(設定!$D$2:$I$25,0,AA76),6,FALSE))-1))),IF(VLOOKUP(M76,OFFSET(設定!$D$2:$I$25,0,AA76),6,FALSE)="-","-",INT(VLOOKUP(M76,OFFSET(設定!$D$2:$I$25,0,AA76),6,FALSE)))))</f>
        <v/>
      </c>
      <c r="AD76">
        <f t="shared" si="116"/>
        <v>2</v>
      </c>
      <c r="AE76" t="str">
        <f t="shared" ca="1" si="93"/>
        <v/>
      </c>
      <c r="AF76" t="str">
        <f t="shared" ca="1" si="94"/>
        <v/>
      </c>
      <c r="AG76" t="str">
        <f t="shared" ca="1" si="95"/>
        <v/>
      </c>
      <c r="AH76" t="b">
        <f t="shared" ca="1" si="96"/>
        <v>1</v>
      </c>
      <c r="AI76" t="b">
        <f t="shared" ca="1" si="97"/>
        <v>0</v>
      </c>
      <c r="AJ76" t="b">
        <f t="shared" ca="1" si="98"/>
        <v>0</v>
      </c>
      <c r="AK76" t="b">
        <f t="shared" si="99"/>
        <v>0</v>
      </c>
      <c r="AL76" t="b">
        <f t="shared" si="100"/>
        <v>0</v>
      </c>
      <c r="AM76" t="b">
        <f t="shared" si="101"/>
        <v>0</v>
      </c>
      <c r="AN76" t="b">
        <f t="shared" si="102"/>
        <v>0</v>
      </c>
      <c r="AO76" t="b">
        <f>IF(COUNTIF($D$6:D75,F76&amp;G76&amp;W76)&gt;0,AK76,FALSE)</f>
        <v>0</v>
      </c>
      <c r="AP76" t="b">
        <f t="shared" ca="1" si="117"/>
        <v>0</v>
      </c>
      <c r="AQ76" t="b">
        <f t="shared" si="103"/>
        <v>0</v>
      </c>
      <c r="AR76" t="b">
        <f t="shared" si="104"/>
        <v>0</v>
      </c>
      <c r="AS76" t="b">
        <f t="shared" ca="1" si="105"/>
        <v>0</v>
      </c>
      <c r="AT76" t="b">
        <f t="shared" ca="1" si="106"/>
        <v>0</v>
      </c>
      <c r="AU76" t="b">
        <f ca="1">IF(COUNTIF(設定!$B$6:$B$11,SUMIF($B$6:B75,G76&amp;W76,$C$6:C75)+IF(AI76,10,IF(AJ76,1,0)))=1,FALSE,AK76)</f>
        <v>0</v>
      </c>
      <c r="AV76" t="b">
        <f t="shared" ca="1" si="107"/>
        <v>0</v>
      </c>
      <c r="AW76" t="b">
        <f t="shared" ca="1" si="108"/>
        <v>0</v>
      </c>
      <c r="AX76" t="b">
        <f t="shared" si="109"/>
        <v>0</v>
      </c>
      <c r="AY76" t="b">
        <f t="shared" si="110"/>
        <v>0</v>
      </c>
      <c r="AZ76" t="b">
        <f t="shared" si="111"/>
        <v>0</v>
      </c>
      <c r="BA76" t="b">
        <f>IF(AND(設定!$B$2&lt;=T76,T76&lt;=設定!$B$3),FALSE,AK76)</f>
        <v>0</v>
      </c>
      <c r="BC76">
        <f t="shared" ca="1" si="112"/>
        <v>0</v>
      </c>
      <c r="BD76">
        <f t="shared" si="118"/>
        <v>71</v>
      </c>
      <c r="BE76" t="str">
        <f t="shared" si="113"/>
        <v/>
      </c>
      <c r="BF76">
        <f>IF(BG76&lt;&gt;"",MAX($BF$6:BF75)+1,0)</f>
        <v>0</v>
      </c>
      <c r="BG76" t="str">
        <f>IF(BE76&lt;&gt;"",IF(COUNTIF($BE$6:BE75,BE76)&gt;0,"",BE76),"")</f>
        <v/>
      </c>
      <c r="BH76" t="str">
        <f t="shared" si="114"/>
        <v/>
      </c>
      <c r="BI76">
        <f>IF(BJ76&lt;&gt;"",MAX($BI$6:BI75)+1,0)</f>
        <v>0</v>
      </c>
      <c r="BJ76" t="str">
        <f>IF(BH76&lt;&gt;"",IF(COUNTIF($BE$6:BH75,BH76)&gt;0,"",BH76),"")</f>
        <v/>
      </c>
    </row>
    <row r="77" spans="1:62" ht="16.5" customHeight="1">
      <c r="A77" t="str">
        <f t="shared" si="85"/>
        <v/>
      </c>
      <c r="B77" t="str">
        <f t="shared" si="86"/>
        <v/>
      </c>
      <c r="C77">
        <f t="shared" ca="1" si="87"/>
        <v>0</v>
      </c>
      <c r="D77" t="str">
        <f t="shared" si="88"/>
        <v/>
      </c>
      <c r="E77">
        <f>IF(B77="",0,LARGE($E$5:E76,1)+1)</f>
        <v>0</v>
      </c>
      <c r="F77" s="44"/>
      <c r="G77" s="45"/>
      <c r="H77" s="7" t="str">
        <f>IF(AND(F77="",G77=""),"",VLOOKUP(学校情報!$B$5&amp;F77&amp;G77,選手データ!$A:$H,4,FALSE))</f>
        <v/>
      </c>
      <c r="I77" s="7" t="str">
        <f>IF(AND(F77="",G77=""),"",VLOOKUP(学校情報!$B$5&amp;F77&amp;G77,選手データ!$A:$H,5,FALSE))</f>
        <v/>
      </c>
      <c r="J77" s="8" t="str">
        <f>IF(AND(F77="",G77=""),"",VLOOKUP(学校情報!$B$5&amp;F77&amp;G77,選手データ!$A:$H,6,FALSE))</f>
        <v/>
      </c>
      <c r="K77" s="32" t="str">
        <f>IF(AND(F77="",G77=""),"",VLOOKUP(学校情報!$B$5&amp;F77&amp;G77,選手データ!$A:$H,8,FALSE))</f>
        <v/>
      </c>
      <c r="L77" s="7" t="str">
        <f>IF(AND(F77="",G77=""),"",VLOOKUP(学校情報!$B$5&amp;F77&amp;G77,選手データ!$A:$I,9,FALSE))</f>
        <v/>
      </c>
      <c r="M77" s="44"/>
      <c r="N77" s="46"/>
      <c r="O77" s="47"/>
      <c r="P77" s="7" t="str">
        <f t="shared" ca="1" si="89"/>
        <v/>
      </c>
      <c r="Q77" s="46"/>
      <c r="R77" s="48"/>
      <c r="S77" s="45"/>
      <c r="T77" s="49"/>
      <c r="U77" s="8" t="str">
        <f t="shared" ca="1" si="90"/>
        <v/>
      </c>
      <c r="V77" s="8" t="str">
        <f t="shared" si="91"/>
        <v/>
      </c>
      <c r="W77" s="4">
        <f t="shared" si="92"/>
        <v>0</v>
      </c>
      <c r="X77" t="b">
        <f ca="1">IF(M77="",FALSE,VLOOKUP(M77,OFFSET(設定!$D$2:$I$25,0,AA77),2,FALSE))</f>
        <v>0</v>
      </c>
      <c r="Y77" t="str">
        <f ca="1">IF(M77="","",VLOOKUP(M77,OFFSET(設定!$D$2:$I$25,0,AA77),3,FALSE))</f>
        <v/>
      </c>
      <c r="Z77" t="b">
        <f ca="1">IF(M77="",FALSE,VLOOKUP(M77,OFFSET(設定!$D$2:$I$25,0,AA77),4,FALSE))</f>
        <v>0</v>
      </c>
      <c r="AA77">
        <f t="shared" si="115"/>
        <v>7</v>
      </c>
      <c r="AB77" s="1" t="str">
        <f ca="1">IF(M77="","",IF(AND(Z77,N77="〇"),IF(VLOOKUP(M77,OFFSET(設定!$D$2:$I$25,0,AA77),5,FALSE)="-","-",LEFT(VLOOKUP(M77,OFFSET(設定!$D$2:$I$25,0,AA77),5,FALSE),INT(LEN(VLOOKUP(M77,OFFSET(設定!$D$2:$I$25,0,AA77),5,FALSE))-1))),IF(VLOOKUP(M77,OFFSET(設定!$D$2:$I$25,0,AA77),5,FALSE)="-","-",INT(VLOOKUP(M77,OFFSET(設定!$D$2:$I$25,0,AA77),5,FALSE)))))</f>
        <v/>
      </c>
      <c r="AC77" s="1" t="str">
        <f ca="1">IF(M77="","",IF(AND(Z77,N77="〇"),IF(VLOOKUP(M77,OFFSET(設定!$D$2:$I$25,0,AA77),6,FALSE)="-","-",LEFT(VLOOKUP(M77,OFFSET(設定!$D$2:$I$25,0,AA77),6,FALSE),INT(LEN(VLOOKUP(M77,OFFSET(設定!$D$2:$I$25,0,AA77),6,FALSE))-1))),IF(VLOOKUP(M77,OFFSET(設定!$D$2:$I$25,0,AA77),6,FALSE)="-","-",INT(VLOOKUP(M77,OFFSET(設定!$D$2:$I$25,0,AA77),6,FALSE)))))</f>
        <v/>
      </c>
      <c r="AD77">
        <f t="shared" si="116"/>
        <v>2</v>
      </c>
      <c r="AE77" t="str">
        <f t="shared" ca="1" si="93"/>
        <v/>
      </c>
      <c r="AF77" t="str">
        <f t="shared" ca="1" si="94"/>
        <v/>
      </c>
      <c r="AG77" t="str">
        <f t="shared" ca="1" si="95"/>
        <v/>
      </c>
      <c r="AH77" t="b">
        <f t="shared" ca="1" si="96"/>
        <v>1</v>
      </c>
      <c r="AI77" t="b">
        <f t="shared" ca="1" si="97"/>
        <v>0</v>
      </c>
      <c r="AJ77" t="b">
        <f t="shared" ca="1" si="98"/>
        <v>0</v>
      </c>
      <c r="AK77" t="b">
        <f t="shared" si="99"/>
        <v>0</v>
      </c>
      <c r="AL77" t="b">
        <f t="shared" si="100"/>
        <v>0</v>
      </c>
      <c r="AM77" t="b">
        <f t="shared" si="101"/>
        <v>0</v>
      </c>
      <c r="AN77" t="b">
        <f t="shared" si="102"/>
        <v>0</v>
      </c>
      <c r="AO77" t="b">
        <f>IF(COUNTIF($D$6:D76,F77&amp;G77&amp;W77)&gt;0,AK77,FALSE)</f>
        <v>0</v>
      </c>
      <c r="AP77" t="b">
        <f t="shared" ca="1" si="117"/>
        <v>0</v>
      </c>
      <c r="AQ77" t="b">
        <f t="shared" si="103"/>
        <v>0</v>
      </c>
      <c r="AR77" t="b">
        <f t="shared" si="104"/>
        <v>0</v>
      </c>
      <c r="AS77" t="b">
        <f t="shared" ca="1" si="105"/>
        <v>0</v>
      </c>
      <c r="AT77" t="b">
        <f t="shared" ca="1" si="106"/>
        <v>0</v>
      </c>
      <c r="AU77" t="b">
        <f ca="1">IF(COUNTIF(設定!$B$6:$B$11,SUMIF($B$6:B76,G77&amp;W77,$C$6:C76)+IF(AI77,10,IF(AJ77,1,0)))=1,FALSE,AK77)</f>
        <v>0</v>
      </c>
      <c r="AV77" t="b">
        <f t="shared" ca="1" si="107"/>
        <v>0</v>
      </c>
      <c r="AW77" t="b">
        <f t="shared" ca="1" si="108"/>
        <v>0</v>
      </c>
      <c r="AX77" t="b">
        <f t="shared" si="109"/>
        <v>0</v>
      </c>
      <c r="AY77" t="b">
        <f t="shared" si="110"/>
        <v>0</v>
      </c>
      <c r="AZ77" t="b">
        <f t="shared" si="111"/>
        <v>0</v>
      </c>
      <c r="BA77" t="b">
        <f>IF(AND(設定!$B$2&lt;=T77,T77&lt;=設定!$B$3),FALSE,AK77)</f>
        <v>0</v>
      </c>
      <c r="BC77">
        <f t="shared" ca="1" si="112"/>
        <v>0</v>
      </c>
      <c r="BD77">
        <f t="shared" si="118"/>
        <v>72</v>
      </c>
      <c r="BE77" t="str">
        <f t="shared" si="113"/>
        <v/>
      </c>
      <c r="BF77">
        <f>IF(BG77&lt;&gt;"",MAX($BF$6:BF76)+1,0)</f>
        <v>0</v>
      </c>
      <c r="BG77" t="str">
        <f>IF(BE77&lt;&gt;"",IF(COUNTIF($BE$6:BE76,BE77)&gt;0,"",BE77),"")</f>
        <v/>
      </c>
      <c r="BH77" t="str">
        <f t="shared" si="114"/>
        <v/>
      </c>
      <c r="BI77">
        <f>IF(BJ77&lt;&gt;"",MAX($BI$6:BI76)+1,0)</f>
        <v>0</v>
      </c>
      <c r="BJ77" t="str">
        <f>IF(BH77&lt;&gt;"",IF(COUNTIF($BE$6:BH76,BH77)&gt;0,"",BH77),"")</f>
        <v/>
      </c>
    </row>
    <row r="78" spans="1:62" ht="16.5" customHeight="1">
      <c r="A78" t="str">
        <f t="shared" si="85"/>
        <v/>
      </c>
      <c r="B78" t="str">
        <f t="shared" si="86"/>
        <v/>
      </c>
      <c r="C78">
        <f t="shared" ca="1" si="87"/>
        <v>0</v>
      </c>
      <c r="D78" t="str">
        <f t="shared" si="88"/>
        <v/>
      </c>
      <c r="E78">
        <f>IF(B78="",0,LARGE($E$5:E77,1)+1)</f>
        <v>0</v>
      </c>
      <c r="F78" s="44"/>
      <c r="G78" s="45"/>
      <c r="H78" s="7" t="str">
        <f>IF(AND(F78="",G78=""),"",VLOOKUP(学校情報!$B$5&amp;F78&amp;G78,選手データ!$A:$H,4,FALSE))</f>
        <v/>
      </c>
      <c r="I78" s="7" t="str">
        <f>IF(AND(F78="",G78=""),"",VLOOKUP(学校情報!$B$5&amp;F78&amp;G78,選手データ!$A:$H,5,FALSE))</f>
        <v/>
      </c>
      <c r="J78" s="8" t="str">
        <f>IF(AND(F78="",G78=""),"",VLOOKUP(学校情報!$B$5&amp;F78&amp;G78,選手データ!$A:$H,6,FALSE))</f>
        <v/>
      </c>
      <c r="K78" s="32" t="str">
        <f>IF(AND(F78="",G78=""),"",VLOOKUP(学校情報!$B$5&amp;F78&amp;G78,選手データ!$A:$H,8,FALSE))</f>
        <v/>
      </c>
      <c r="L78" s="7" t="str">
        <f>IF(AND(F78="",G78=""),"",VLOOKUP(学校情報!$B$5&amp;F78&amp;G78,選手データ!$A:$I,9,FALSE))</f>
        <v/>
      </c>
      <c r="M78" s="44"/>
      <c r="N78" s="46"/>
      <c r="O78" s="47"/>
      <c r="P78" s="7" t="str">
        <f t="shared" ca="1" si="89"/>
        <v/>
      </c>
      <c r="Q78" s="46"/>
      <c r="R78" s="48"/>
      <c r="S78" s="45"/>
      <c r="T78" s="49"/>
      <c r="U78" s="8" t="str">
        <f t="shared" ca="1" si="90"/>
        <v/>
      </c>
      <c r="V78" s="8" t="str">
        <f t="shared" si="91"/>
        <v/>
      </c>
      <c r="W78" s="4">
        <f t="shared" si="92"/>
        <v>0</v>
      </c>
      <c r="X78" t="b">
        <f ca="1">IF(M78="",FALSE,VLOOKUP(M78,OFFSET(設定!$D$2:$I$25,0,AA78),2,FALSE))</f>
        <v>0</v>
      </c>
      <c r="Y78" t="str">
        <f ca="1">IF(M78="","",VLOOKUP(M78,OFFSET(設定!$D$2:$I$25,0,AA78),3,FALSE))</f>
        <v/>
      </c>
      <c r="Z78" t="b">
        <f ca="1">IF(M78="",FALSE,VLOOKUP(M78,OFFSET(設定!$D$2:$I$25,0,AA78),4,FALSE))</f>
        <v>0</v>
      </c>
      <c r="AA78">
        <f t="shared" si="115"/>
        <v>7</v>
      </c>
      <c r="AB78" s="1" t="str">
        <f ca="1">IF(M78="","",IF(AND(Z78,N78="〇"),IF(VLOOKUP(M78,OFFSET(設定!$D$2:$I$25,0,AA78),5,FALSE)="-","-",LEFT(VLOOKUP(M78,OFFSET(設定!$D$2:$I$25,0,AA78),5,FALSE),INT(LEN(VLOOKUP(M78,OFFSET(設定!$D$2:$I$25,0,AA78),5,FALSE))-1))),IF(VLOOKUP(M78,OFFSET(設定!$D$2:$I$25,0,AA78),5,FALSE)="-","-",INT(VLOOKUP(M78,OFFSET(設定!$D$2:$I$25,0,AA78),5,FALSE)))))</f>
        <v/>
      </c>
      <c r="AC78" s="1" t="str">
        <f ca="1">IF(M78="","",IF(AND(Z78,N78="〇"),IF(VLOOKUP(M78,OFFSET(設定!$D$2:$I$25,0,AA78),6,FALSE)="-","-",LEFT(VLOOKUP(M78,OFFSET(設定!$D$2:$I$25,0,AA78),6,FALSE),INT(LEN(VLOOKUP(M78,OFFSET(設定!$D$2:$I$25,0,AA78),6,FALSE))-1))),IF(VLOOKUP(M78,OFFSET(設定!$D$2:$I$25,0,AA78),6,FALSE)="-","-",INT(VLOOKUP(M78,OFFSET(設定!$D$2:$I$25,0,AA78),6,FALSE)))))</f>
        <v/>
      </c>
      <c r="AD78">
        <f t="shared" si="116"/>
        <v>2</v>
      </c>
      <c r="AE78" t="str">
        <f t="shared" ca="1" si="93"/>
        <v/>
      </c>
      <c r="AF78" t="str">
        <f t="shared" ca="1" si="94"/>
        <v/>
      </c>
      <c r="AG78" t="str">
        <f t="shared" ca="1" si="95"/>
        <v/>
      </c>
      <c r="AH78" t="b">
        <f t="shared" ca="1" si="96"/>
        <v>1</v>
      </c>
      <c r="AI78" t="b">
        <f t="shared" ca="1" si="97"/>
        <v>0</v>
      </c>
      <c r="AJ78" t="b">
        <f t="shared" ca="1" si="98"/>
        <v>0</v>
      </c>
      <c r="AK78" t="b">
        <f t="shared" si="99"/>
        <v>0</v>
      </c>
      <c r="AL78" t="b">
        <f t="shared" si="100"/>
        <v>0</v>
      </c>
      <c r="AM78" t="b">
        <f t="shared" si="101"/>
        <v>0</v>
      </c>
      <c r="AN78" t="b">
        <f t="shared" si="102"/>
        <v>0</v>
      </c>
      <c r="AO78" t="b">
        <f>IF(COUNTIF($D$6:D77,F78&amp;G78&amp;W78)&gt;0,AK78,FALSE)</f>
        <v>0</v>
      </c>
      <c r="AP78" t="b">
        <f t="shared" ca="1" si="117"/>
        <v>0</v>
      </c>
      <c r="AQ78" t="b">
        <f t="shared" si="103"/>
        <v>0</v>
      </c>
      <c r="AR78" t="b">
        <f t="shared" si="104"/>
        <v>0</v>
      </c>
      <c r="AS78" t="b">
        <f t="shared" ca="1" si="105"/>
        <v>0</v>
      </c>
      <c r="AT78" t="b">
        <f t="shared" ca="1" si="106"/>
        <v>0</v>
      </c>
      <c r="AU78" t="b">
        <f ca="1">IF(COUNTIF(設定!$B$6:$B$11,SUMIF($B$6:B77,G78&amp;W78,$C$6:C77)+IF(AI78,10,IF(AJ78,1,0)))=1,FALSE,AK78)</f>
        <v>0</v>
      </c>
      <c r="AV78" t="b">
        <f t="shared" ca="1" si="107"/>
        <v>0</v>
      </c>
      <c r="AW78" t="b">
        <f t="shared" ca="1" si="108"/>
        <v>0</v>
      </c>
      <c r="AX78" t="b">
        <f t="shared" si="109"/>
        <v>0</v>
      </c>
      <c r="AY78" t="b">
        <f t="shared" si="110"/>
        <v>0</v>
      </c>
      <c r="AZ78" t="b">
        <f t="shared" si="111"/>
        <v>0</v>
      </c>
      <c r="BA78" t="b">
        <f>IF(AND(設定!$B$2&lt;=T78,T78&lt;=設定!$B$3),FALSE,AK78)</f>
        <v>0</v>
      </c>
      <c r="BC78">
        <f t="shared" ca="1" si="112"/>
        <v>0</v>
      </c>
      <c r="BD78">
        <f t="shared" si="118"/>
        <v>73</v>
      </c>
      <c r="BE78" t="str">
        <f t="shared" si="113"/>
        <v/>
      </c>
      <c r="BF78">
        <f>IF(BG78&lt;&gt;"",MAX($BF$6:BF77)+1,0)</f>
        <v>0</v>
      </c>
      <c r="BG78" t="str">
        <f>IF(BE78&lt;&gt;"",IF(COUNTIF($BE$6:BE77,BE78)&gt;0,"",BE78),"")</f>
        <v/>
      </c>
      <c r="BH78" t="str">
        <f t="shared" si="114"/>
        <v/>
      </c>
      <c r="BI78">
        <f>IF(BJ78&lt;&gt;"",MAX($BI$6:BI77)+1,0)</f>
        <v>0</v>
      </c>
      <c r="BJ78" t="str">
        <f>IF(BH78&lt;&gt;"",IF(COUNTIF($BE$6:BH77,BH78)&gt;0,"",BH78),"")</f>
        <v/>
      </c>
    </row>
    <row r="79" spans="1:62" ht="16.5" customHeight="1">
      <c r="A79" t="str">
        <f t="shared" si="85"/>
        <v/>
      </c>
      <c r="B79" t="str">
        <f t="shared" si="86"/>
        <v/>
      </c>
      <c r="C79">
        <f t="shared" ca="1" si="87"/>
        <v>0</v>
      </c>
      <c r="D79" t="str">
        <f t="shared" si="88"/>
        <v/>
      </c>
      <c r="E79">
        <f>IF(B79="",0,LARGE($E$5:E78,1)+1)</f>
        <v>0</v>
      </c>
      <c r="F79" s="44"/>
      <c r="G79" s="45"/>
      <c r="H79" s="7" t="str">
        <f>IF(AND(F79="",G79=""),"",VLOOKUP(学校情報!$B$5&amp;F79&amp;G79,選手データ!$A:$H,4,FALSE))</f>
        <v/>
      </c>
      <c r="I79" s="7" t="str">
        <f>IF(AND(F79="",G79=""),"",VLOOKUP(学校情報!$B$5&amp;F79&amp;G79,選手データ!$A:$H,5,FALSE))</f>
        <v/>
      </c>
      <c r="J79" s="8" t="str">
        <f>IF(AND(F79="",G79=""),"",VLOOKUP(学校情報!$B$5&amp;F79&amp;G79,選手データ!$A:$H,6,FALSE))</f>
        <v/>
      </c>
      <c r="K79" s="32" t="str">
        <f>IF(AND(F79="",G79=""),"",VLOOKUP(学校情報!$B$5&amp;F79&amp;G79,選手データ!$A:$H,8,FALSE))</f>
        <v/>
      </c>
      <c r="L79" s="7" t="str">
        <f>IF(AND(F79="",G79=""),"",VLOOKUP(学校情報!$B$5&amp;F79&amp;G79,選手データ!$A:$I,9,FALSE))</f>
        <v/>
      </c>
      <c r="M79" s="44"/>
      <c r="N79" s="46"/>
      <c r="O79" s="47"/>
      <c r="P79" s="7" t="str">
        <f t="shared" ca="1" si="89"/>
        <v/>
      </c>
      <c r="Q79" s="46"/>
      <c r="R79" s="48"/>
      <c r="S79" s="45"/>
      <c r="T79" s="49"/>
      <c r="U79" s="8" t="str">
        <f t="shared" ca="1" si="90"/>
        <v/>
      </c>
      <c r="V79" s="8" t="str">
        <f t="shared" si="91"/>
        <v/>
      </c>
      <c r="W79" s="4">
        <f t="shared" si="92"/>
        <v>0</v>
      </c>
      <c r="X79" t="b">
        <f ca="1">IF(M79="",FALSE,VLOOKUP(M79,OFFSET(設定!$D$2:$I$25,0,AA79),2,FALSE))</f>
        <v>0</v>
      </c>
      <c r="Y79" t="str">
        <f ca="1">IF(M79="","",VLOOKUP(M79,OFFSET(設定!$D$2:$I$25,0,AA79),3,FALSE))</f>
        <v/>
      </c>
      <c r="Z79" t="b">
        <f ca="1">IF(M79="",FALSE,VLOOKUP(M79,OFFSET(設定!$D$2:$I$25,0,AA79),4,FALSE))</f>
        <v>0</v>
      </c>
      <c r="AA79">
        <f t="shared" si="115"/>
        <v>7</v>
      </c>
      <c r="AB79" s="1" t="str">
        <f ca="1">IF(M79="","",IF(AND(Z79,N79="〇"),IF(VLOOKUP(M79,OFFSET(設定!$D$2:$I$25,0,AA79),5,FALSE)="-","-",LEFT(VLOOKUP(M79,OFFSET(設定!$D$2:$I$25,0,AA79),5,FALSE),INT(LEN(VLOOKUP(M79,OFFSET(設定!$D$2:$I$25,0,AA79),5,FALSE))-1))),IF(VLOOKUP(M79,OFFSET(設定!$D$2:$I$25,0,AA79),5,FALSE)="-","-",INT(VLOOKUP(M79,OFFSET(設定!$D$2:$I$25,0,AA79),5,FALSE)))))</f>
        <v/>
      </c>
      <c r="AC79" s="1" t="str">
        <f ca="1">IF(M79="","",IF(AND(Z79,N79="〇"),IF(VLOOKUP(M79,OFFSET(設定!$D$2:$I$25,0,AA79),6,FALSE)="-","-",LEFT(VLOOKUP(M79,OFFSET(設定!$D$2:$I$25,0,AA79),6,FALSE),INT(LEN(VLOOKUP(M79,OFFSET(設定!$D$2:$I$25,0,AA79),6,FALSE))-1))),IF(VLOOKUP(M79,OFFSET(設定!$D$2:$I$25,0,AA79),6,FALSE)="-","-",INT(VLOOKUP(M79,OFFSET(設定!$D$2:$I$25,0,AA79),6,FALSE)))))</f>
        <v/>
      </c>
      <c r="AD79">
        <f t="shared" si="116"/>
        <v>2</v>
      </c>
      <c r="AE79" t="str">
        <f t="shared" ca="1" si="93"/>
        <v/>
      </c>
      <c r="AF79" t="str">
        <f t="shared" ca="1" si="94"/>
        <v/>
      </c>
      <c r="AG79" t="str">
        <f t="shared" ca="1" si="95"/>
        <v/>
      </c>
      <c r="AH79" t="b">
        <f t="shared" ca="1" si="96"/>
        <v>1</v>
      </c>
      <c r="AI79" t="b">
        <f t="shared" ca="1" si="97"/>
        <v>0</v>
      </c>
      <c r="AJ79" t="b">
        <f t="shared" ca="1" si="98"/>
        <v>0</v>
      </c>
      <c r="AK79" t="b">
        <f t="shared" si="99"/>
        <v>0</v>
      </c>
      <c r="AL79" t="b">
        <f t="shared" si="100"/>
        <v>0</v>
      </c>
      <c r="AM79" t="b">
        <f t="shared" si="101"/>
        <v>0</v>
      </c>
      <c r="AN79" t="b">
        <f t="shared" si="102"/>
        <v>0</v>
      </c>
      <c r="AO79" t="b">
        <f>IF(COUNTIF($D$6:D78,F79&amp;G79&amp;W79)&gt;0,AK79,FALSE)</f>
        <v>0</v>
      </c>
      <c r="AP79" t="b">
        <f t="shared" ca="1" si="117"/>
        <v>0</v>
      </c>
      <c r="AQ79" t="b">
        <f t="shared" si="103"/>
        <v>0</v>
      </c>
      <c r="AR79" t="b">
        <f t="shared" si="104"/>
        <v>0</v>
      </c>
      <c r="AS79" t="b">
        <f t="shared" ca="1" si="105"/>
        <v>0</v>
      </c>
      <c r="AT79" t="b">
        <f t="shared" ca="1" si="106"/>
        <v>0</v>
      </c>
      <c r="AU79" t="b">
        <f ca="1">IF(COUNTIF(設定!$B$6:$B$11,SUMIF($B$6:B78,G79&amp;W79,$C$6:C78)+IF(AI79,10,IF(AJ79,1,0)))=1,FALSE,AK79)</f>
        <v>0</v>
      </c>
      <c r="AV79" t="b">
        <f t="shared" ca="1" si="107"/>
        <v>0</v>
      </c>
      <c r="AW79" t="b">
        <f t="shared" ca="1" si="108"/>
        <v>0</v>
      </c>
      <c r="AX79" t="b">
        <f t="shared" si="109"/>
        <v>0</v>
      </c>
      <c r="AY79" t="b">
        <f t="shared" si="110"/>
        <v>0</v>
      </c>
      <c r="AZ79" t="b">
        <f t="shared" si="111"/>
        <v>0</v>
      </c>
      <c r="BA79" t="b">
        <f>IF(AND(設定!$B$2&lt;=T79,T79&lt;=設定!$B$3),FALSE,AK79)</f>
        <v>0</v>
      </c>
      <c r="BC79">
        <f t="shared" ca="1" si="112"/>
        <v>0</v>
      </c>
      <c r="BD79">
        <f t="shared" si="118"/>
        <v>74</v>
      </c>
      <c r="BE79" t="str">
        <f t="shared" si="113"/>
        <v/>
      </c>
      <c r="BF79">
        <f>IF(BG79&lt;&gt;"",MAX($BF$6:BF78)+1,0)</f>
        <v>0</v>
      </c>
      <c r="BG79" t="str">
        <f>IF(BE79&lt;&gt;"",IF(COUNTIF($BE$6:BE78,BE79)&gt;0,"",BE79),"")</f>
        <v/>
      </c>
      <c r="BH79" t="str">
        <f t="shared" si="114"/>
        <v/>
      </c>
      <c r="BI79">
        <f>IF(BJ79&lt;&gt;"",MAX($BI$6:BI78)+1,0)</f>
        <v>0</v>
      </c>
      <c r="BJ79" t="str">
        <f>IF(BH79&lt;&gt;"",IF(COUNTIF($BE$6:BH78,BH79)&gt;0,"",BH79),"")</f>
        <v/>
      </c>
    </row>
    <row r="80" spans="1:62" ht="16.5" customHeight="1">
      <c r="A80" t="str">
        <f t="shared" si="85"/>
        <v/>
      </c>
      <c r="B80" t="str">
        <f t="shared" si="86"/>
        <v/>
      </c>
      <c r="C80">
        <f t="shared" ca="1" si="87"/>
        <v>0</v>
      </c>
      <c r="D80" t="str">
        <f t="shared" si="88"/>
        <v/>
      </c>
      <c r="E80">
        <f>IF(B80="",0,LARGE($E$5:E79,1)+1)</f>
        <v>0</v>
      </c>
      <c r="F80" s="44"/>
      <c r="G80" s="45"/>
      <c r="H80" s="7" t="str">
        <f>IF(AND(F80="",G80=""),"",VLOOKUP(学校情報!$B$5&amp;F80&amp;G80,選手データ!$A:$H,4,FALSE))</f>
        <v/>
      </c>
      <c r="I80" s="7" t="str">
        <f>IF(AND(F80="",G80=""),"",VLOOKUP(学校情報!$B$5&amp;F80&amp;G80,選手データ!$A:$H,5,FALSE))</f>
        <v/>
      </c>
      <c r="J80" s="8" t="str">
        <f>IF(AND(F80="",G80=""),"",VLOOKUP(学校情報!$B$5&amp;F80&amp;G80,選手データ!$A:$H,6,FALSE))</f>
        <v/>
      </c>
      <c r="K80" s="32" t="str">
        <f>IF(AND(F80="",G80=""),"",VLOOKUP(学校情報!$B$5&amp;F80&amp;G80,選手データ!$A:$H,8,FALSE))</f>
        <v/>
      </c>
      <c r="L80" s="7" t="str">
        <f>IF(AND(F80="",G80=""),"",VLOOKUP(学校情報!$B$5&amp;F80&amp;G80,選手データ!$A:$I,9,FALSE))</f>
        <v/>
      </c>
      <c r="M80" s="44"/>
      <c r="N80" s="46"/>
      <c r="O80" s="47"/>
      <c r="P80" s="7" t="str">
        <f t="shared" ca="1" si="89"/>
        <v/>
      </c>
      <c r="Q80" s="46"/>
      <c r="R80" s="48"/>
      <c r="S80" s="45"/>
      <c r="T80" s="49"/>
      <c r="U80" s="8" t="str">
        <f t="shared" ca="1" si="90"/>
        <v/>
      </c>
      <c r="V80" s="8" t="str">
        <f t="shared" si="91"/>
        <v/>
      </c>
      <c r="W80" s="4">
        <f t="shared" si="92"/>
        <v>0</v>
      </c>
      <c r="X80" t="b">
        <f ca="1">IF(M80="",FALSE,VLOOKUP(M80,OFFSET(設定!$D$2:$I$25,0,AA80),2,FALSE))</f>
        <v>0</v>
      </c>
      <c r="Y80" t="str">
        <f ca="1">IF(M80="","",VLOOKUP(M80,OFFSET(設定!$D$2:$I$25,0,AA80),3,FALSE))</f>
        <v/>
      </c>
      <c r="Z80" t="b">
        <f ca="1">IF(M80="",FALSE,VLOOKUP(M80,OFFSET(設定!$D$2:$I$25,0,AA80),4,FALSE))</f>
        <v>0</v>
      </c>
      <c r="AA80">
        <f t="shared" si="115"/>
        <v>7</v>
      </c>
      <c r="AB80" s="1" t="str">
        <f ca="1">IF(M80="","",IF(AND(Z80,N80="〇"),IF(VLOOKUP(M80,OFFSET(設定!$D$2:$I$25,0,AA80),5,FALSE)="-","-",LEFT(VLOOKUP(M80,OFFSET(設定!$D$2:$I$25,0,AA80),5,FALSE),INT(LEN(VLOOKUP(M80,OFFSET(設定!$D$2:$I$25,0,AA80),5,FALSE))-1))),IF(VLOOKUP(M80,OFFSET(設定!$D$2:$I$25,0,AA80),5,FALSE)="-","-",INT(VLOOKUP(M80,OFFSET(設定!$D$2:$I$25,0,AA80),5,FALSE)))))</f>
        <v/>
      </c>
      <c r="AC80" s="1" t="str">
        <f ca="1">IF(M80="","",IF(AND(Z80,N80="〇"),IF(VLOOKUP(M80,OFFSET(設定!$D$2:$I$25,0,AA80),6,FALSE)="-","-",LEFT(VLOOKUP(M80,OFFSET(設定!$D$2:$I$25,0,AA80),6,FALSE),INT(LEN(VLOOKUP(M80,OFFSET(設定!$D$2:$I$25,0,AA80),6,FALSE))-1))),IF(VLOOKUP(M80,OFFSET(設定!$D$2:$I$25,0,AA80),6,FALSE)="-","-",INT(VLOOKUP(M80,OFFSET(設定!$D$2:$I$25,0,AA80),6,FALSE)))))</f>
        <v/>
      </c>
      <c r="AD80">
        <f t="shared" si="116"/>
        <v>2</v>
      </c>
      <c r="AE80" t="str">
        <f t="shared" ca="1" si="93"/>
        <v/>
      </c>
      <c r="AF80" t="str">
        <f t="shared" ca="1" si="94"/>
        <v/>
      </c>
      <c r="AG80" t="str">
        <f t="shared" ca="1" si="95"/>
        <v/>
      </c>
      <c r="AH80" t="b">
        <f t="shared" ca="1" si="96"/>
        <v>1</v>
      </c>
      <c r="AI80" t="b">
        <f t="shared" ca="1" si="97"/>
        <v>0</v>
      </c>
      <c r="AJ80" t="b">
        <f t="shared" ca="1" si="98"/>
        <v>0</v>
      </c>
      <c r="AK80" t="b">
        <f t="shared" si="99"/>
        <v>0</v>
      </c>
      <c r="AL80" t="b">
        <f t="shared" si="100"/>
        <v>0</v>
      </c>
      <c r="AM80" t="b">
        <f t="shared" si="101"/>
        <v>0</v>
      </c>
      <c r="AN80" t="b">
        <f t="shared" si="102"/>
        <v>0</v>
      </c>
      <c r="AO80" t="b">
        <f>IF(COUNTIF($D$6:D79,F80&amp;G80&amp;W80)&gt;0,AK80,FALSE)</f>
        <v>0</v>
      </c>
      <c r="AP80" t="b">
        <f t="shared" ca="1" si="117"/>
        <v>0</v>
      </c>
      <c r="AQ80" t="b">
        <f t="shared" si="103"/>
        <v>0</v>
      </c>
      <c r="AR80" t="b">
        <f t="shared" si="104"/>
        <v>0</v>
      </c>
      <c r="AS80" t="b">
        <f t="shared" ca="1" si="105"/>
        <v>0</v>
      </c>
      <c r="AT80" t="b">
        <f t="shared" ca="1" si="106"/>
        <v>0</v>
      </c>
      <c r="AU80" t="b">
        <f ca="1">IF(COUNTIF(設定!$B$6:$B$11,SUMIF($B$6:B79,G80&amp;W80,$C$6:C79)+IF(AI80,10,IF(AJ80,1,0)))=1,FALSE,AK80)</f>
        <v>0</v>
      </c>
      <c r="AV80" t="b">
        <f t="shared" ca="1" si="107"/>
        <v>0</v>
      </c>
      <c r="AW80" t="b">
        <f t="shared" ca="1" si="108"/>
        <v>0</v>
      </c>
      <c r="AX80" t="b">
        <f t="shared" si="109"/>
        <v>0</v>
      </c>
      <c r="AY80" t="b">
        <f t="shared" si="110"/>
        <v>0</v>
      </c>
      <c r="AZ80" t="b">
        <f t="shared" si="111"/>
        <v>0</v>
      </c>
      <c r="BA80" t="b">
        <f>IF(AND(設定!$B$2&lt;=T80,T80&lt;=設定!$B$3),FALSE,AK80)</f>
        <v>0</v>
      </c>
      <c r="BC80">
        <f t="shared" ca="1" si="112"/>
        <v>0</v>
      </c>
      <c r="BD80">
        <f t="shared" si="118"/>
        <v>75</v>
      </c>
      <c r="BE80" t="str">
        <f t="shared" si="113"/>
        <v/>
      </c>
      <c r="BF80">
        <f>IF(BG80&lt;&gt;"",MAX($BF$6:BF79)+1,0)</f>
        <v>0</v>
      </c>
      <c r="BG80" t="str">
        <f>IF(BE80&lt;&gt;"",IF(COUNTIF($BE$6:BE79,BE80)&gt;0,"",BE80),"")</f>
        <v/>
      </c>
      <c r="BH80" t="str">
        <f t="shared" si="114"/>
        <v/>
      </c>
      <c r="BI80">
        <f>IF(BJ80&lt;&gt;"",MAX($BI$6:BI79)+1,0)</f>
        <v>0</v>
      </c>
      <c r="BJ80" t="str">
        <f>IF(BH80&lt;&gt;"",IF(COUNTIF($BE$6:BH79,BH80)&gt;0,"",BH80),"")</f>
        <v/>
      </c>
    </row>
    <row r="81" spans="1:62" ht="16.5" customHeight="1">
      <c r="A81" t="str">
        <f t="shared" si="85"/>
        <v/>
      </c>
      <c r="B81" t="str">
        <f t="shared" si="86"/>
        <v/>
      </c>
      <c r="C81">
        <f t="shared" ca="1" si="87"/>
        <v>0</v>
      </c>
      <c r="D81" t="str">
        <f t="shared" si="88"/>
        <v/>
      </c>
      <c r="E81">
        <f>IF(B81="",0,LARGE($E$5:E80,1)+1)</f>
        <v>0</v>
      </c>
      <c r="F81" s="44"/>
      <c r="G81" s="45"/>
      <c r="H81" s="7" t="str">
        <f>IF(AND(F81="",G81=""),"",VLOOKUP(学校情報!$B$5&amp;F81&amp;G81,選手データ!$A:$H,4,FALSE))</f>
        <v/>
      </c>
      <c r="I81" s="7" t="str">
        <f>IF(AND(F81="",G81=""),"",VLOOKUP(学校情報!$B$5&amp;F81&amp;G81,選手データ!$A:$H,5,FALSE))</f>
        <v/>
      </c>
      <c r="J81" s="8" t="str">
        <f>IF(AND(F81="",G81=""),"",VLOOKUP(学校情報!$B$5&amp;F81&amp;G81,選手データ!$A:$H,6,FALSE))</f>
        <v/>
      </c>
      <c r="K81" s="32" t="str">
        <f>IF(AND(F81="",G81=""),"",VLOOKUP(学校情報!$B$5&amp;F81&amp;G81,選手データ!$A:$H,8,FALSE))</f>
        <v/>
      </c>
      <c r="L81" s="7" t="str">
        <f>IF(AND(F81="",G81=""),"",VLOOKUP(学校情報!$B$5&amp;F81&amp;G81,選手データ!$A:$I,9,FALSE))</f>
        <v/>
      </c>
      <c r="M81" s="44"/>
      <c r="N81" s="46"/>
      <c r="O81" s="47"/>
      <c r="P81" s="7" t="str">
        <f t="shared" ca="1" si="89"/>
        <v/>
      </c>
      <c r="Q81" s="46"/>
      <c r="R81" s="48"/>
      <c r="S81" s="45"/>
      <c r="T81" s="49"/>
      <c r="U81" s="8" t="str">
        <f t="shared" ca="1" si="90"/>
        <v/>
      </c>
      <c r="V81" s="8" t="str">
        <f t="shared" si="91"/>
        <v/>
      </c>
      <c r="W81" s="4">
        <f t="shared" si="92"/>
        <v>0</v>
      </c>
      <c r="X81" t="b">
        <f ca="1">IF(M81="",FALSE,VLOOKUP(M81,OFFSET(設定!$D$2:$I$25,0,AA81),2,FALSE))</f>
        <v>0</v>
      </c>
      <c r="Y81" t="str">
        <f ca="1">IF(M81="","",VLOOKUP(M81,OFFSET(設定!$D$2:$I$25,0,AA81),3,FALSE))</f>
        <v/>
      </c>
      <c r="Z81" t="b">
        <f ca="1">IF(M81="",FALSE,VLOOKUP(M81,OFFSET(設定!$D$2:$I$25,0,AA81),4,FALSE))</f>
        <v>0</v>
      </c>
      <c r="AA81">
        <f t="shared" si="115"/>
        <v>7</v>
      </c>
      <c r="AB81" s="1" t="str">
        <f ca="1">IF(M81="","",IF(AND(Z81,N81="〇"),IF(VLOOKUP(M81,OFFSET(設定!$D$2:$I$25,0,AA81),5,FALSE)="-","-",LEFT(VLOOKUP(M81,OFFSET(設定!$D$2:$I$25,0,AA81),5,FALSE),INT(LEN(VLOOKUP(M81,OFFSET(設定!$D$2:$I$25,0,AA81),5,FALSE))-1))),IF(VLOOKUP(M81,OFFSET(設定!$D$2:$I$25,0,AA81),5,FALSE)="-","-",INT(VLOOKUP(M81,OFFSET(設定!$D$2:$I$25,0,AA81),5,FALSE)))))</f>
        <v/>
      </c>
      <c r="AC81" s="1" t="str">
        <f ca="1">IF(M81="","",IF(AND(Z81,N81="〇"),IF(VLOOKUP(M81,OFFSET(設定!$D$2:$I$25,0,AA81),6,FALSE)="-","-",LEFT(VLOOKUP(M81,OFFSET(設定!$D$2:$I$25,0,AA81),6,FALSE),INT(LEN(VLOOKUP(M81,OFFSET(設定!$D$2:$I$25,0,AA81),6,FALSE))-1))),IF(VLOOKUP(M81,OFFSET(設定!$D$2:$I$25,0,AA81),6,FALSE)="-","-",INT(VLOOKUP(M81,OFFSET(設定!$D$2:$I$25,0,AA81),6,FALSE)))))</f>
        <v/>
      </c>
      <c r="AD81">
        <f t="shared" si="116"/>
        <v>2</v>
      </c>
      <c r="AE81" t="str">
        <f t="shared" ca="1" si="93"/>
        <v/>
      </c>
      <c r="AF81" t="str">
        <f t="shared" ca="1" si="94"/>
        <v/>
      </c>
      <c r="AG81" t="str">
        <f t="shared" ca="1" si="95"/>
        <v/>
      </c>
      <c r="AH81" t="b">
        <f t="shared" ca="1" si="96"/>
        <v>1</v>
      </c>
      <c r="AI81" t="b">
        <f t="shared" ca="1" si="97"/>
        <v>0</v>
      </c>
      <c r="AJ81" t="b">
        <f t="shared" ca="1" si="98"/>
        <v>0</v>
      </c>
      <c r="AK81" t="b">
        <f t="shared" si="99"/>
        <v>0</v>
      </c>
      <c r="AL81" t="b">
        <f t="shared" si="100"/>
        <v>0</v>
      </c>
      <c r="AM81" t="b">
        <f t="shared" si="101"/>
        <v>0</v>
      </c>
      <c r="AN81" t="b">
        <f t="shared" si="102"/>
        <v>0</v>
      </c>
      <c r="AO81" t="b">
        <f>IF(COUNTIF($D$6:D80,F81&amp;G81&amp;W81)&gt;0,AK81,FALSE)</f>
        <v>0</v>
      </c>
      <c r="AP81" t="b">
        <f t="shared" ca="1" si="117"/>
        <v>0</v>
      </c>
      <c r="AQ81" t="b">
        <f t="shared" si="103"/>
        <v>0</v>
      </c>
      <c r="AR81" t="b">
        <f t="shared" si="104"/>
        <v>0</v>
      </c>
      <c r="AS81" t="b">
        <f t="shared" ca="1" si="105"/>
        <v>0</v>
      </c>
      <c r="AT81" t="b">
        <f t="shared" ca="1" si="106"/>
        <v>0</v>
      </c>
      <c r="AU81" t="b">
        <f ca="1">IF(COUNTIF(設定!$B$6:$B$11,SUMIF($B$6:B80,G81&amp;W81,$C$6:C80)+IF(AI81,10,IF(AJ81,1,0)))=1,FALSE,AK81)</f>
        <v>0</v>
      </c>
      <c r="AV81" t="b">
        <f t="shared" ca="1" si="107"/>
        <v>0</v>
      </c>
      <c r="AW81" t="b">
        <f t="shared" ca="1" si="108"/>
        <v>0</v>
      </c>
      <c r="AX81" t="b">
        <f t="shared" si="109"/>
        <v>0</v>
      </c>
      <c r="AY81" t="b">
        <f t="shared" si="110"/>
        <v>0</v>
      </c>
      <c r="AZ81" t="b">
        <f t="shared" si="111"/>
        <v>0</v>
      </c>
      <c r="BA81" t="b">
        <f>IF(AND(設定!$B$2&lt;=T81,T81&lt;=設定!$B$3),FALSE,AK81)</f>
        <v>0</v>
      </c>
      <c r="BC81">
        <f t="shared" ca="1" si="112"/>
        <v>0</v>
      </c>
      <c r="BD81">
        <f t="shared" si="118"/>
        <v>76</v>
      </c>
      <c r="BE81" t="str">
        <f t="shared" si="113"/>
        <v/>
      </c>
      <c r="BF81">
        <f>IF(BG81&lt;&gt;"",MAX($BF$6:BF80)+1,0)</f>
        <v>0</v>
      </c>
      <c r="BG81" t="str">
        <f>IF(BE81&lt;&gt;"",IF(COUNTIF($BE$6:BE80,BE81)&gt;0,"",BE81),"")</f>
        <v/>
      </c>
      <c r="BH81" t="str">
        <f t="shared" si="114"/>
        <v/>
      </c>
      <c r="BI81">
        <f>IF(BJ81&lt;&gt;"",MAX($BI$6:BI80)+1,0)</f>
        <v>0</v>
      </c>
      <c r="BJ81" t="str">
        <f>IF(BH81&lt;&gt;"",IF(COUNTIF($BE$6:BH80,BH81)&gt;0,"",BH81),"")</f>
        <v/>
      </c>
    </row>
    <row r="82" spans="1:62" ht="16.5" customHeight="1">
      <c r="A82" t="str">
        <f t="shared" si="85"/>
        <v/>
      </c>
      <c r="B82" t="str">
        <f t="shared" si="86"/>
        <v/>
      </c>
      <c r="C82">
        <f t="shared" ca="1" si="87"/>
        <v>0</v>
      </c>
      <c r="D82" t="str">
        <f t="shared" si="88"/>
        <v/>
      </c>
      <c r="E82">
        <f>IF(B82="",0,LARGE($E$5:E81,1)+1)</f>
        <v>0</v>
      </c>
      <c r="F82" s="44"/>
      <c r="G82" s="45"/>
      <c r="H82" s="7" t="str">
        <f>IF(AND(F82="",G82=""),"",VLOOKUP(学校情報!$B$5&amp;F82&amp;G82,選手データ!$A:$H,4,FALSE))</f>
        <v/>
      </c>
      <c r="I82" s="7" t="str">
        <f>IF(AND(F82="",G82=""),"",VLOOKUP(学校情報!$B$5&amp;F82&amp;G82,選手データ!$A:$H,5,FALSE))</f>
        <v/>
      </c>
      <c r="J82" s="8" t="str">
        <f>IF(AND(F82="",G82=""),"",VLOOKUP(学校情報!$B$5&amp;F82&amp;G82,選手データ!$A:$H,6,FALSE))</f>
        <v/>
      </c>
      <c r="K82" s="32" t="str">
        <f>IF(AND(F82="",G82=""),"",VLOOKUP(学校情報!$B$5&amp;F82&amp;G82,選手データ!$A:$H,8,FALSE))</f>
        <v/>
      </c>
      <c r="L82" s="7" t="str">
        <f>IF(AND(F82="",G82=""),"",VLOOKUP(学校情報!$B$5&amp;F82&amp;G82,選手データ!$A:$I,9,FALSE))</f>
        <v/>
      </c>
      <c r="M82" s="44"/>
      <c r="N82" s="46"/>
      <c r="O82" s="47"/>
      <c r="P82" s="7" t="str">
        <f t="shared" ca="1" si="89"/>
        <v/>
      </c>
      <c r="Q82" s="46"/>
      <c r="R82" s="48"/>
      <c r="S82" s="45"/>
      <c r="T82" s="49"/>
      <c r="U82" s="8" t="str">
        <f t="shared" ca="1" si="90"/>
        <v/>
      </c>
      <c r="V82" s="8" t="str">
        <f t="shared" si="91"/>
        <v/>
      </c>
      <c r="W82" s="4">
        <f t="shared" si="92"/>
        <v>0</v>
      </c>
      <c r="X82" t="b">
        <f ca="1">IF(M82="",FALSE,VLOOKUP(M82,OFFSET(設定!$D$2:$I$25,0,AA82),2,FALSE))</f>
        <v>0</v>
      </c>
      <c r="Y82" t="str">
        <f ca="1">IF(M82="","",VLOOKUP(M82,OFFSET(設定!$D$2:$I$25,0,AA82),3,FALSE))</f>
        <v/>
      </c>
      <c r="Z82" t="b">
        <f ca="1">IF(M82="",FALSE,VLOOKUP(M82,OFFSET(設定!$D$2:$I$25,0,AA82),4,FALSE))</f>
        <v>0</v>
      </c>
      <c r="AA82">
        <f t="shared" si="115"/>
        <v>7</v>
      </c>
      <c r="AB82" s="1" t="str">
        <f ca="1">IF(M82="","",IF(AND(Z82,N82="〇"),IF(VLOOKUP(M82,OFFSET(設定!$D$2:$I$25,0,AA82),5,FALSE)="-","-",LEFT(VLOOKUP(M82,OFFSET(設定!$D$2:$I$25,0,AA82),5,FALSE),INT(LEN(VLOOKUP(M82,OFFSET(設定!$D$2:$I$25,0,AA82),5,FALSE))-1))),IF(VLOOKUP(M82,OFFSET(設定!$D$2:$I$25,0,AA82),5,FALSE)="-","-",INT(VLOOKUP(M82,OFFSET(設定!$D$2:$I$25,0,AA82),5,FALSE)))))</f>
        <v/>
      </c>
      <c r="AC82" s="1" t="str">
        <f ca="1">IF(M82="","",IF(AND(Z82,N82="〇"),IF(VLOOKUP(M82,OFFSET(設定!$D$2:$I$25,0,AA82),6,FALSE)="-","-",LEFT(VLOOKUP(M82,OFFSET(設定!$D$2:$I$25,0,AA82),6,FALSE),INT(LEN(VLOOKUP(M82,OFFSET(設定!$D$2:$I$25,0,AA82),6,FALSE))-1))),IF(VLOOKUP(M82,OFFSET(設定!$D$2:$I$25,0,AA82),6,FALSE)="-","-",INT(VLOOKUP(M82,OFFSET(設定!$D$2:$I$25,0,AA82),6,FALSE)))))</f>
        <v/>
      </c>
      <c r="AD82">
        <f t="shared" si="116"/>
        <v>2</v>
      </c>
      <c r="AE82" t="str">
        <f t="shared" ca="1" si="93"/>
        <v/>
      </c>
      <c r="AF82" t="str">
        <f t="shared" ca="1" si="94"/>
        <v/>
      </c>
      <c r="AG82" t="str">
        <f t="shared" ca="1" si="95"/>
        <v/>
      </c>
      <c r="AH82" t="b">
        <f t="shared" ca="1" si="96"/>
        <v>1</v>
      </c>
      <c r="AI82" t="b">
        <f t="shared" ca="1" si="97"/>
        <v>0</v>
      </c>
      <c r="AJ82" t="b">
        <f t="shared" ca="1" si="98"/>
        <v>0</v>
      </c>
      <c r="AK82" t="b">
        <f t="shared" si="99"/>
        <v>0</v>
      </c>
      <c r="AL82" t="b">
        <f t="shared" si="100"/>
        <v>0</v>
      </c>
      <c r="AM82" t="b">
        <f t="shared" si="101"/>
        <v>0</v>
      </c>
      <c r="AN82" t="b">
        <f t="shared" si="102"/>
        <v>0</v>
      </c>
      <c r="AO82" t="b">
        <f>IF(COUNTIF($D$6:D81,F82&amp;G82&amp;W82)&gt;0,AK82,FALSE)</f>
        <v>0</v>
      </c>
      <c r="AP82" t="b">
        <f t="shared" ca="1" si="117"/>
        <v>0</v>
      </c>
      <c r="AQ82" t="b">
        <f t="shared" si="103"/>
        <v>0</v>
      </c>
      <c r="AR82" t="b">
        <f t="shared" si="104"/>
        <v>0</v>
      </c>
      <c r="AS82" t="b">
        <f t="shared" ca="1" si="105"/>
        <v>0</v>
      </c>
      <c r="AT82" t="b">
        <f t="shared" ca="1" si="106"/>
        <v>0</v>
      </c>
      <c r="AU82" t="b">
        <f ca="1">IF(COUNTIF(設定!$B$6:$B$11,SUMIF($B$6:B81,G82&amp;W82,$C$6:C81)+IF(AI82,10,IF(AJ82,1,0)))=1,FALSE,AK82)</f>
        <v>0</v>
      </c>
      <c r="AV82" t="b">
        <f t="shared" ca="1" si="107"/>
        <v>0</v>
      </c>
      <c r="AW82" t="b">
        <f t="shared" ca="1" si="108"/>
        <v>0</v>
      </c>
      <c r="AX82" t="b">
        <f t="shared" si="109"/>
        <v>0</v>
      </c>
      <c r="AY82" t="b">
        <f t="shared" si="110"/>
        <v>0</v>
      </c>
      <c r="AZ82" t="b">
        <f t="shared" si="111"/>
        <v>0</v>
      </c>
      <c r="BA82" t="b">
        <f>IF(AND(設定!$B$2&lt;=T82,T82&lt;=設定!$B$3),FALSE,AK82)</f>
        <v>0</v>
      </c>
      <c r="BC82">
        <f t="shared" ca="1" si="112"/>
        <v>0</v>
      </c>
      <c r="BD82">
        <f t="shared" si="118"/>
        <v>77</v>
      </c>
      <c r="BE82" t="str">
        <f t="shared" si="113"/>
        <v/>
      </c>
      <c r="BF82">
        <f>IF(BG82&lt;&gt;"",MAX($BF$6:BF81)+1,0)</f>
        <v>0</v>
      </c>
      <c r="BG82" t="str">
        <f>IF(BE82&lt;&gt;"",IF(COUNTIF($BE$6:BE81,BE82)&gt;0,"",BE82),"")</f>
        <v/>
      </c>
      <c r="BH82" t="str">
        <f t="shared" si="114"/>
        <v/>
      </c>
      <c r="BI82">
        <f>IF(BJ82&lt;&gt;"",MAX($BI$6:BI81)+1,0)</f>
        <v>0</v>
      </c>
      <c r="BJ82" t="str">
        <f>IF(BH82&lt;&gt;"",IF(COUNTIF($BE$6:BH81,BH82)&gt;0,"",BH82),"")</f>
        <v/>
      </c>
    </row>
    <row r="83" spans="1:62" ht="16.5" customHeight="1">
      <c r="A83" t="str">
        <f t="shared" si="85"/>
        <v/>
      </c>
      <c r="B83" t="str">
        <f t="shared" si="86"/>
        <v/>
      </c>
      <c r="C83">
        <f t="shared" ca="1" si="87"/>
        <v>0</v>
      </c>
      <c r="D83" t="str">
        <f t="shared" si="88"/>
        <v/>
      </c>
      <c r="E83">
        <f>IF(B83="",0,LARGE($E$5:E82,1)+1)</f>
        <v>0</v>
      </c>
      <c r="F83" s="44"/>
      <c r="G83" s="45"/>
      <c r="H83" s="7" t="str">
        <f>IF(AND(F83="",G83=""),"",VLOOKUP(学校情報!$B$5&amp;F83&amp;G83,選手データ!$A:$H,4,FALSE))</f>
        <v/>
      </c>
      <c r="I83" s="7" t="str">
        <f>IF(AND(F83="",G83=""),"",VLOOKUP(学校情報!$B$5&amp;F83&amp;G83,選手データ!$A:$H,5,FALSE))</f>
        <v/>
      </c>
      <c r="J83" s="8" t="str">
        <f>IF(AND(F83="",G83=""),"",VLOOKUP(学校情報!$B$5&amp;F83&amp;G83,選手データ!$A:$H,6,FALSE))</f>
        <v/>
      </c>
      <c r="K83" s="32" t="str">
        <f>IF(AND(F83="",G83=""),"",VLOOKUP(学校情報!$B$5&amp;F83&amp;G83,選手データ!$A:$H,8,FALSE))</f>
        <v/>
      </c>
      <c r="L83" s="7" t="str">
        <f>IF(AND(F83="",G83=""),"",VLOOKUP(学校情報!$B$5&amp;F83&amp;G83,選手データ!$A:$I,9,FALSE))</f>
        <v/>
      </c>
      <c r="M83" s="44"/>
      <c r="N83" s="46"/>
      <c r="O83" s="47"/>
      <c r="P83" s="7" t="str">
        <f t="shared" ca="1" si="89"/>
        <v/>
      </c>
      <c r="Q83" s="46"/>
      <c r="R83" s="48"/>
      <c r="S83" s="45"/>
      <c r="T83" s="49"/>
      <c r="U83" s="8" t="str">
        <f t="shared" ca="1" si="90"/>
        <v/>
      </c>
      <c r="V83" s="8" t="str">
        <f t="shared" si="91"/>
        <v/>
      </c>
      <c r="W83" s="4">
        <f t="shared" si="92"/>
        <v>0</v>
      </c>
      <c r="X83" t="b">
        <f ca="1">IF(M83="",FALSE,VLOOKUP(M83,OFFSET(設定!$D$2:$I$25,0,AA83),2,FALSE))</f>
        <v>0</v>
      </c>
      <c r="Y83" t="str">
        <f ca="1">IF(M83="","",VLOOKUP(M83,OFFSET(設定!$D$2:$I$25,0,AA83),3,FALSE))</f>
        <v/>
      </c>
      <c r="Z83" t="b">
        <f ca="1">IF(M83="",FALSE,VLOOKUP(M83,OFFSET(設定!$D$2:$I$25,0,AA83),4,FALSE))</f>
        <v>0</v>
      </c>
      <c r="AA83">
        <f t="shared" si="115"/>
        <v>7</v>
      </c>
      <c r="AB83" s="1" t="str">
        <f ca="1">IF(M83="","",IF(AND(Z83,N83="〇"),IF(VLOOKUP(M83,OFFSET(設定!$D$2:$I$25,0,AA83),5,FALSE)="-","-",LEFT(VLOOKUP(M83,OFFSET(設定!$D$2:$I$25,0,AA83),5,FALSE),INT(LEN(VLOOKUP(M83,OFFSET(設定!$D$2:$I$25,0,AA83),5,FALSE))-1))),IF(VLOOKUP(M83,OFFSET(設定!$D$2:$I$25,0,AA83),5,FALSE)="-","-",INT(VLOOKUP(M83,OFFSET(設定!$D$2:$I$25,0,AA83),5,FALSE)))))</f>
        <v/>
      </c>
      <c r="AC83" s="1" t="str">
        <f ca="1">IF(M83="","",IF(AND(Z83,N83="〇"),IF(VLOOKUP(M83,OFFSET(設定!$D$2:$I$25,0,AA83),6,FALSE)="-","-",LEFT(VLOOKUP(M83,OFFSET(設定!$D$2:$I$25,0,AA83),6,FALSE),INT(LEN(VLOOKUP(M83,OFFSET(設定!$D$2:$I$25,0,AA83),6,FALSE))-1))),IF(VLOOKUP(M83,OFFSET(設定!$D$2:$I$25,0,AA83),6,FALSE)="-","-",INT(VLOOKUP(M83,OFFSET(設定!$D$2:$I$25,0,AA83),6,FALSE)))))</f>
        <v/>
      </c>
      <c r="AD83">
        <f t="shared" si="116"/>
        <v>2</v>
      </c>
      <c r="AE83" t="str">
        <f t="shared" ca="1" si="93"/>
        <v/>
      </c>
      <c r="AF83" t="str">
        <f t="shared" ca="1" si="94"/>
        <v/>
      </c>
      <c r="AG83" t="str">
        <f t="shared" ca="1" si="95"/>
        <v/>
      </c>
      <c r="AH83" t="b">
        <f t="shared" ca="1" si="96"/>
        <v>1</v>
      </c>
      <c r="AI83" t="b">
        <f t="shared" ca="1" si="97"/>
        <v>0</v>
      </c>
      <c r="AJ83" t="b">
        <f t="shared" ca="1" si="98"/>
        <v>0</v>
      </c>
      <c r="AK83" t="b">
        <f t="shared" si="99"/>
        <v>0</v>
      </c>
      <c r="AL83" t="b">
        <f t="shared" si="100"/>
        <v>0</v>
      </c>
      <c r="AM83" t="b">
        <f t="shared" si="101"/>
        <v>0</v>
      </c>
      <c r="AN83" t="b">
        <f t="shared" si="102"/>
        <v>0</v>
      </c>
      <c r="AO83" t="b">
        <f>IF(COUNTIF($D$6:D82,F83&amp;G83&amp;W83)&gt;0,AK83,FALSE)</f>
        <v>0</v>
      </c>
      <c r="AP83" t="b">
        <f t="shared" ca="1" si="117"/>
        <v>0</v>
      </c>
      <c r="AQ83" t="b">
        <f t="shared" si="103"/>
        <v>0</v>
      </c>
      <c r="AR83" t="b">
        <f t="shared" si="104"/>
        <v>0</v>
      </c>
      <c r="AS83" t="b">
        <f t="shared" ca="1" si="105"/>
        <v>0</v>
      </c>
      <c r="AT83" t="b">
        <f t="shared" ca="1" si="106"/>
        <v>0</v>
      </c>
      <c r="AU83" t="b">
        <f ca="1">IF(COUNTIF(設定!$B$6:$B$11,SUMIF($B$6:B82,G83&amp;W83,$C$6:C82)+IF(AI83,10,IF(AJ83,1,0)))=1,FALSE,AK83)</f>
        <v>0</v>
      </c>
      <c r="AV83" t="b">
        <f t="shared" ca="1" si="107"/>
        <v>0</v>
      </c>
      <c r="AW83" t="b">
        <f t="shared" ca="1" si="108"/>
        <v>0</v>
      </c>
      <c r="AX83" t="b">
        <f t="shared" si="109"/>
        <v>0</v>
      </c>
      <c r="AY83" t="b">
        <f t="shared" si="110"/>
        <v>0</v>
      </c>
      <c r="AZ83" t="b">
        <f t="shared" si="111"/>
        <v>0</v>
      </c>
      <c r="BA83" t="b">
        <f>IF(AND(設定!$B$2&lt;=T83,T83&lt;=設定!$B$3),FALSE,AK83)</f>
        <v>0</v>
      </c>
      <c r="BC83">
        <f t="shared" ca="1" si="112"/>
        <v>0</v>
      </c>
      <c r="BD83">
        <f t="shared" si="118"/>
        <v>78</v>
      </c>
      <c r="BE83" t="str">
        <f t="shared" si="113"/>
        <v/>
      </c>
      <c r="BF83">
        <f>IF(BG83&lt;&gt;"",MAX($BF$6:BF82)+1,0)</f>
        <v>0</v>
      </c>
      <c r="BG83" t="str">
        <f>IF(BE83&lt;&gt;"",IF(COUNTIF($BE$6:BE82,BE83)&gt;0,"",BE83),"")</f>
        <v/>
      </c>
      <c r="BH83" t="str">
        <f t="shared" si="114"/>
        <v/>
      </c>
      <c r="BI83">
        <f>IF(BJ83&lt;&gt;"",MAX($BI$6:BI82)+1,0)</f>
        <v>0</v>
      </c>
      <c r="BJ83" t="str">
        <f>IF(BH83&lt;&gt;"",IF(COUNTIF($BE$6:BH82,BH83)&gt;0,"",BH83),"")</f>
        <v/>
      </c>
    </row>
    <row r="84" spans="1:62" ht="16.5" customHeight="1">
      <c r="A84" t="str">
        <f t="shared" si="85"/>
        <v/>
      </c>
      <c r="B84" t="str">
        <f t="shared" si="86"/>
        <v/>
      </c>
      <c r="C84">
        <f t="shared" ca="1" si="87"/>
        <v>0</v>
      </c>
      <c r="D84" t="str">
        <f t="shared" si="88"/>
        <v/>
      </c>
      <c r="E84">
        <f>IF(B84="",0,LARGE($E$5:E83,1)+1)</f>
        <v>0</v>
      </c>
      <c r="F84" s="44"/>
      <c r="G84" s="45"/>
      <c r="H84" s="7" t="str">
        <f>IF(AND(F84="",G84=""),"",VLOOKUP(学校情報!$B$5&amp;F84&amp;G84,選手データ!$A:$H,4,FALSE))</f>
        <v/>
      </c>
      <c r="I84" s="7" t="str">
        <f>IF(AND(F84="",G84=""),"",VLOOKUP(学校情報!$B$5&amp;F84&amp;G84,選手データ!$A:$H,5,FALSE))</f>
        <v/>
      </c>
      <c r="J84" s="8" t="str">
        <f>IF(AND(F84="",G84=""),"",VLOOKUP(学校情報!$B$5&amp;F84&amp;G84,選手データ!$A:$H,6,FALSE))</f>
        <v/>
      </c>
      <c r="K84" s="32" t="str">
        <f>IF(AND(F84="",G84=""),"",VLOOKUP(学校情報!$B$5&amp;F84&amp;G84,選手データ!$A:$H,8,FALSE))</f>
        <v/>
      </c>
      <c r="L84" s="7" t="str">
        <f>IF(AND(F84="",G84=""),"",VLOOKUP(学校情報!$B$5&amp;F84&amp;G84,選手データ!$A:$I,9,FALSE))</f>
        <v/>
      </c>
      <c r="M84" s="44"/>
      <c r="N84" s="46"/>
      <c r="O84" s="47"/>
      <c r="P84" s="7" t="str">
        <f t="shared" ca="1" si="89"/>
        <v/>
      </c>
      <c r="Q84" s="46"/>
      <c r="R84" s="48"/>
      <c r="S84" s="45"/>
      <c r="T84" s="49"/>
      <c r="U84" s="8" t="str">
        <f t="shared" ca="1" si="90"/>
        <v/>
      </c>
      <c r="V84" s="8" t="str">
        <f t="shared" si="91"/>
        <v/>
      </c>
      <c r="W84" s="4">
        <f t="shared" si="92"/>
        <v>0</v>
      </c>
      <c r="X84" t="b">
        <f ca="1">IF(M84="",FALSE,VLOOKUP(M84,OFFSET(設定!$D$2:$I$25,0,AA84),2,FALSE))</f>
        <v>0</v>
      </c>
      <c r="Y84" t="str">
        <f ca="1">IF(M84="","",VLOOKUP(M84,OFFSET(設定!$D$2:$I$25,0,AA84),3,FALSE))</f>
        <v/>
      </c>
      <c r="Z84" t="b">
        <f ca="1">IF(M84="",FALSE,VLOOKUP(M84,OFFSET(設定!$D$2:$I$25,0,AA84),4,FALSE))</f>
        <v>0</v>
      </c>
      <c r="AA84">
        <f t="shared" si="115"/>
        <v>7</v>
      </c>
      <c r="AB84" s="1" t="str">
        <f ca="1">IF(M84="","",IF(AND(Z84,N84="〇"),IF(VLOOKUP(M84,OFFSET(設定!$D$2:$I$25,0,AA84),5,FALSE)="-","-",LEFT(VLOOKUP(M84,OFFSET(設定!$D$2:$I$25,0,AA84),5,FALSE),INT(LEN(VLOOKUP(M84,OFFSET(設定!$D$2:$I$25,0,AA84),5,FALSE))-1))),IF(VLOOKUP(M84,OFFSET(設定!$D$2:$I$25,0,AA84),5,FALSE)="-","-",INT(VLOOKUP(M84,OFFSET(設定!$D$2:$I$25,0,AA84),5,FALSE)))))</f>
        <v/>
      </c>
      <c r="AC84" s="1" t="str">
        <f ca="1">IF(M84="","",IF(AND(Z84,N84="〇"),IF(VLOOKUP(M84,OFFSET(設定!$D$2:$I$25,0,AA84),6,FALSE)="-","-",LEFT(VLOOKUP(M84,OFFSET(設定!$D$2:$I$25,0,AA84),6,FALSE),INT(LEN(VLOOKUP(M84,OFFSET(設定!$D$2:$I$25,0,AA84),6,FALSE))-1))),IF(VLOOKUP(M84,OFFSET(設定!$D$2:$I$25,0,AA84),6,FALSE)="-","-",INT(VLOOKUP(M84,OFFSET(設定!$D$2:$I$25,0,AA84),6,FALSE)))))</f>
        <v/>
      </c>
      <c r="AD84">
        <f t="shared" si="116"/>
        <v>2</v>
      </c>
      <c r="AE84" t="str">
        <f t="shared" ca="1" si="93"/>
        <v/>
      </c>
      <c r="AF84" t="str">
        <f t="shared" ca="1" si="94"/>
        <v/>
      </c>
      <c r="AG84" t="str">
        <f t="shared" ca="1" si="95"/>
        <v/>
      </c>
      <c r="AH84" t="b">
        <f t="shared" ca="1" si="96"/>
        <v>1</v>
      </c>
      <c r="AI84" t="b">
        <f t="shared" ca="1" si="97"/>
        <v>0</v>
      </c>
      <c r="AJ84" t="b">
        <f t="shared" ca="1" si="98"/>
        <v>0</v>
      </c>
      <c r="AK84" t="b">
        <f t="shared" si="99"/>
        <v>0</v>
      </c>
      <c r="AL84" t="b">
        <f t="shared" si="100"/>
        <v>0</v>
      </c>
      <c r="AM84" t="b">
        <f t="shared" si="101"/>
        <v>0</v>
      </c>
      <c r="AN84" t="b">
        <f t="shared" si="102"/>
        <v>0</v>
      </c>
      <c r="AO84" t="b">
        <f>IF(COUNTIF($D$6:D83,F84&amp;G84&amp;W84)&gt;0,AK84,FALSE)</f>
        <v>0</v>
      </c>
      <c r="AP84" t="b">
        <f t="shared" ca="1" si="117"/>
        <v>0</v>
      </c>
      <c r="AQ84" t="b">
        <f t="shared" si="103"/>
        <v>0</v>
      </c>
      <c r="AR84" t="b">
        <f t="shared" si="104"/>
        <v>0</v>
      </c>
      <c r="AS84" t="b">
        <f t="shared" ca="1" si="105"/>
        <v>0</v>
      </c>
      <c r="AT84" t="b">
        <f t="shared" ca="1" si="106"/>
        <v>0</v>
      </c>
      <c r="AU84" t="b">
        <f ca="1">IF(COUNTIF(設定!$B$6:$B$11,SUMIF($B$6:B83,G84&amp;W84,$C$6:C83)+IF(AI84,10,IF(AJ84,1,0)))=1,FALSE,AK84)</f>
        <v>0</v>
      </c>
      <c r="AV84" t="b">
        <f t="shared" ca="1" si="107"/>
        <v>0</v>
      </c>
      <c r="AW84" t="b">
        <f t="shared" ca="1" si="108"/>
        <v>0</v>
      </c>
      <c r="AX84" t="b">
        <f t="shared" si="109"/>
        <v>0</v>
      </c>
      <c r="AY84" t="b">
        <f t="shared" si="110"/>
        <v>0</v>
      </c>
      <c r="AZ84" t="b">
        <f t="shared" si="111"/>
        <v>0</v>
      </c>
      <c r="BA84" t="b">
        <f>IF(AND(設定!$B$2&lt;=T84,T84&lt;=設定!$B$3),FALSE,AK84)</f>
        <v>0</v>
      </c>
      <c r="BC84">
        <f t="shared" ca="1" si="112"/>
        <v>0</v>
      </c>
      <c r="BD84">
        <f t="shared" si="118"/>
        <v>79</v>
      </c>
      <c r="BE84" t="str">
        <f t="shared" si="113"/>
        <v/>
      </c>
      <c r="BF84">
        <f>IF(BG84&lt;&gt;"",MAX($BF$6:BF83)+1,0)</f>
        <v>0</v>
      </c>
      <c r="BG84" t="str">
        <f>IF(BE84&lt;&gt;"",IF(COUNTIF($BE$6:BE83,BE84)&gt;0,"",BE84),"")</f>
        <v/>
      </c>
      <c r="BH84" t="str">
        <f t="shared" si="114"/>
        <v/>
      </c>
      <c r="BI84">
        <f>IF(BJ84&lt;&gt;"",MAX($BI$6:BI83)+1,0)</f>
        <v>0</v>
      </c>
      <c r="BJ84" t="str">
        <f>IF(BH84&lt;&gt;"",IF(COUNTIF($BE$6:BH83,BH84)&gt;0,"",BH84),"")</f>
        <v/>
      </c>
    </row>
    <row r="85" spans="1:62" ht="16.5" customHeight="1">
      <c r="A85" t="str">
        <f t="shared" si="85"/>
        <v/>
      </c>
      <c r="B85" t="str">
        <f t="shared" si="86"/>
        <v/>
      </c>
      <c r="C85">
        <f t="shared" ca="1" si="87"/>
        <v>0</v>
      </c>
      <c r="D85" t="str">
        <f t="shared" si="88"/>
        <v/>
      </c>
      <c r="E85">
        <f>IF(B85="",0,LARGE($E$5:E84,1)+1)</f>
        <v>0</v>
      </c>
      <c r="F85" s="44"/>
      <c r="G85" s="45"/>
      <c r="H85" s="7" t="str">
        <f>IF(AND(F85="",G85=""),"",VLOOKUP(学校情報!$B$5&amp;F85&amp;G85,選手データ!$A:$H,4,FALSE))</f>
        <v/>
      </c>
      <c r="I85" s="7" t="str">
        <f>IF(AND(F85="",G85=""),"",VLOOKUP(学校情報!$B$5&amp;F85&amp;G85,選手データ!$A:$H,5,FALSE))</f>
        <v/>
      </c>
      <c r="J85" s="8" t="str">
        <f>IF(AND(F85="",G85=""),"",VLOOKUP(学校情報!$B$5&amp;F85&amp;G85,選手データ!$A:$H,6,FALSE))</f>
        <v/>
      </c>
      <c r="K85" s="32" t="str">
        <f>IF(AND(F85="",G85=""),"",VLOOKUP(学校情報!$B$5&amp;F85&amp;G85,選手データ!$A:$H,8,FALSE))</f>
        <v/>
      </c>
      <c r="L85" s="7" t="str">
        <f>IF(AND(F85="",G85=""),"",VLOOKUP(学校情報!$B$5&amp;F85&amp;G85,選手データ!$A:$I,9,FALSE))</f>
        <v/>
      </c>
      <c r="M85" s="44"/>
      <c r="N85" s="46"/>
      <c r="O85" s="47"/>
      <c r="P85" s="7" t="str">
        <f t="shared" ca="1" si="89"/>
        <v/>
      </c>
      <c r="Q85" s="46"/>
      <c r="R85" s="48"/>
      <c r="S85" s="45"/>
      <c r="T85" s="49"/>
      <c r="U85" s="8" t="str">
        <f t="shared" ca="1" si="90"/>
        <v/>
      </c>
      <c r="V85" s="8" t="str">
        <f t="shared" si="91"/>
        <v/>
      </c>
      <c r="W85" s="4">
        <f t="shared" si="92"/>
        <v>0</v>
      </c>
      <c r="X85" t="b">
        <f ca="1">IF(M85="",FALSE,VLOOKUP(M85,OFFSET(設定!$D$2:$I$25,0,AA85),2,FALSE))</f>
        <v>0</v>
      </c>
      <c r="Y85" t="str">
        <f ca="1">IF(M85="","",VLOOKUP(M85,OFFSET(設定!$D$2:$I$25,0,AA85),3,FALSE))</f>
        <v/>
      </c>
      <c r="Z85" t="b">
        <f ca="1">IF(M85="",FALSE,VLOOKUP(M85,OFFSET(設定!$D$2:$I$25,0,AA85),4,FALSE))</f>
        <v>0</v>
      </c>
      <c r="AA85">
        <f t="shared" si="115"/>
        <v>7</v>
      </c>
      <c r="AB85" s="1" t="str">
        <f ca="1">IF(M85="","",IF(AND(Z85,N85="〇"),IF(VLOOKUP(M85,OFFSET(設定!$D$2:$I$25,0,AA85),5,FALSE)="-","-",LEFT(VLOOKUP(M85,OFFSET(設定!$D$2:$I$25,0,AA85),5,FALSE),INT(LEN(VLOOKUP(M85,OFFSET(設定!$D$2:$I$25,0,AA85),5,FALSE))-1))),IF(VLOOKUP(M85,OFFSET(設定!$D$2:$I$25,0,AA85),5,FALSE)="-","-",INT(VLOOKUP(M85,OFFSET(設定!$D$2:$I$25,0,AA85),5,FALSE)))))</f>
        <v/>
      </c>
      <c r="AC85" s="1" t="str">
        <f ca="1">IF(M85="","",IF(AND(Z85,N85="〇"),IF(VLOOKUP(M85,OFFSET(設定!$D$2:$I$25,0,AA85),6,FALSE)="-","-",LEFT(VLOOKUP(M85,OFFSET(設定!$D$2:$I$25,0,AA85),6,FALSE),INT(LEN(VLOOKUP(M85,OFFSET(設定!$D$2:$I$25,0,AA85),6,FALSE))-1))),IF(VLOOKUP(M85,OFFSET(設定!$D$2:$I$25,0,AA85),6,FALSE)="-","-",INT(VLOOKUP(M85,OFFSET(設定!$D$2:$I$25,0,AA85),6,FALSE)))))</f>
        <v/>
      </c>
      <c r="AD85">
        <f t="shared" si="116"/>
        <v>2</v>
      </c>
      <c r="AE85" t="str">
        <f t="shared" ca="1" si="93"/>
        <v/>
      </c>
      <c r="AF85" t="str">
        <f t="shared" ca="1" si="94"/>
        <v/>
      </c>
      <c r="AG85" t="str">
        <f t="shared" ca="1" si="95"/>
        <v/>
      </c>
      <c r="AH85" t="b">
        <f t="shared" ca="1" si="96"/>
        <v>1</v>
      </c>
      <c r="AI85" t="b">
        <f t="shared" ca="1" si="97"/>
        <v>0</v>
      </c>
      <c r="AJ85" t="b">
        <f t="shared" ca="1" si="98"/>
        <v>0</v>
      </c>
      <c r="AK85" t="b">
        <f t="shared" si="99"/>
        <v>0</v>
      </c>
      <c r="AL85" t="b">
        <f t="shared" si="100"/>
        <v>0</v>
      </c>
      <c r="AM85" t="b">
        <f t="shared" si="101"/>
        <v>0</v>
      </c>
      <c r="AN85" t="b">
        <f t="shared" si="102"/>
        <v>0</v>
      </c>
      <c r="AO85" t="b">
        <f>IF(COUNTIF($D$6:D84,F85&amp;G85&amp;W85)&gt;0,AK85,FALSE)</f>
        <v>0</v>
      </c>
      <c r="AP85" t="b">
        <f t="shared" ca="1" si="117"/>
        <v>0</v>
      </c>
      <c r="AQ85" t="b">
        <f t="shared" si="103"/>
        <v>0</v>
      </c>
      <c r="AR85" t="b">
        <f t="shared" si="104"/>
        <v>0</v>
      </c>
      <c r="AS85" t="b">
        <f t="shared" ca="1" si="105"/>
        <v>0</v>
      </c>
      <c r="AT85" t="b">
        <f t="shared" ca="1" si="106"/>
        <v>0</v>
      </c>
      <c r="AU85" t="b">
        <f ca="1">IF(COUNTIF(設定!$B$6:$B$11,SUMIF($B$6:B84,G85&amp;W85,$C$6:C84)+IF(AI85,10,IF(AJ85,1,0)))=1,FALSE,AK85)</f>
        <v>0</v>
      </c>
      <c r="AV85" t="b">
        <f t="shared" ca="1" si="107"/>
        <v>0</v>
      </c>
      <c r="AW85" t="b">
        <f t="shared" ca="1" si="108"/>
        <v>0</v>
      </c>
      <c r="AX85" t="b">
        <f t="shared" si="109"/>
        <v>0</v>
      </c>
      <c r="AY85" t="b">
        <f t="shared" si="110"/>
        <v>0</v>
      </c>
      <c r="AZ85" t="b">
        <f t="shared" si="111"/>
        <v>0</v>
      </c>
      <c r="BA85" t="b">
        <f>IF(AND(設定!$B$2&lt;=T85,T85&lt;=設定!$B$3),FALSE,AK85)</f>
        <v>0</v>
      </c>
      <c r="BC85">
        <f t="shared" ca="1" si="112"/>
        <v>0</v>
      </c>
      <c r="BD85">
        <f t="shared" si="118"/>
        <v>80</v>
      </c>
      <c r="BE85" t="str">
        <f t="shared" si="113"/>
        <v/>
      </c>
      <c r="BF85">
        <f>IF(BG85&lt;&gt;"",MAX($BF$6:BF84)+1,0)</f>
        <v>0</v>
      </c>
      <c r="BG85" t="str">
        <f>IF(BE85&lt;&gt;"",IF(COUNTIF($BE$6:BE84,BE85)&gt;0,"",BE85),"")</f>
        <v/>
      </c>
      <c r="BH85" t="str">
        <f t="shared" si="114"/>
        <v/>
      </c>
      <c r="BI85">
        <f>IF(BJ85&lt;&gt;"",MAX($BI$6:BI84)+1,0)</f>
        <v>0</v>
      </c>
      <c r="BJ85" t="str">
        <f>IF(BH85&lt;&gt;"",IF(COUNTIF($BE$6:BH84,BH85)&gt;0,"",BH85),"")</f>
        <v/>
      </c>
    </row>
    <row r="86" spans="1:62" ht="16.5" customHeight="1">
      <c r="A86" t="str">
        <f t="shared" si="85"/>
        <v/>
      </c>
      <c r="B86" t="str">
        <f t="shared" si="86"/>
        <v/>
      </c>
      <c r="C86">
        <f t="shared" ca="1" si="87"/>
        <v>0</v>
      </c>
      <c r="D86" t="str">
        <f t="shared" si="88"/>
        <v/>
      </c>
      <c r="E86">
        <f>IF(B86="",0,LARGE($E$5:E85,1)+1)</f>
        <v>0</v>
      </c>
      <c r="F86" s="44"/>
      <c r="G86" s="45"/>
      <c r="H86" s="7" t="str">
        <f>IF(AND(F86="",G86=""),"",VLOOKUP(学校情報!$B$5&amp;F86&amp;G86,選手データ!$A:$H,4,FALSE))</f>
        <v/>
      </c>
      <c r="I86" s="7" t="str">
        <f>IF(AND(F86="",G86=""),"",VLOOKUP(学校情報!$B$5&amp;F86&amp;G86,選手データ!$A:$H,5,FALSE))</f>
        <v/>
      </c>
      <c r="J86" s="8" t="str">
        <f>IF(AND(F86="",G86=""),"",VLOOKUP(学校情報!$B$5&amp;F86&amp;G86,選手データ!$A:$H,6,FALSE))</f>
        <v/>
      </c>
      <c r="K86" s="32" t="str">
        <f>IF(AND(F86="",G86=""),"",VLOOKUP(学校情報!$B$5&amp;F86&amp;G86,選手データ!$A:$H,8,FALSE))</f>
        <v/>
      </c>
      <c r="L86" s="7" t="str">
        <f>IF(AND(F86="",G86=""),"",VLOOKUP(学校情報!$B$5&amp;F86&amp;G86,選手データ!$A:$I,9,FALSE))</f>
        <v/>
      </c>
      <c r="M86" s="44"/>
      <c r="N86" s="46"/>
      <c r="O86" s="47"/>
      <c r="P86" s="7" t="str">
        <f t="shared" ca="1" si="89"/>
        <v/>
      </c>
      <c r="Q86" s="46"/>
      <c r="R86" s="48"/>
      <c r="S86" s="45"/>
      <c r="T86" s="49"/>
      <c r="U86" s="8" t="str">
        <f t="shared" ca="1" si="90"/>
        <v/>
      </c>
      <c r="V86" s="8" t="str">
        <f t="shared" si="91"/>
        <v/>
      </c>
      <c r="W86" s="4">
        <f t="shared" si="92"/>
        <v>0</v>
      </c>
      <c r="X86" t="b">
        <f ca="1">IF(M86="",FALSE,VLOOKUP(M86,OFFSET(設定!$D$2:$I$25,0,AA86),2,FALSE))</f>
        <v>0</v>
      </c>
      <c r="Y86" t="str">
        <f ca="1">IF(M86="","",VLOOKUP(M86,OFFSET(設定!$D$2:$I$25,0,AA86),3,FALSE))</f>
        <v/>
      </c>
      <c r="Z86" t="b">
        <f ca="1">IF(M86="",FALSE,VLOOKUP(M86,OFFSET(設定!$D$2:$I$25,0,AA86),4,FALSE))</f>
        <v>0</v>
      </c>
      <c r="AA86">
        <f t="shared" si="115"/>
        <v>7</v>
      </c>
      <c r="AB86" s="1" t="str">
        <f ca="1">IF(M86="","",IF(AND(Z86,N86="〇"),IF(VLOOKUP(M86,OFFSET(設定!$D$2:$I$25,0,AA86),5,FALSE)="-","-",LEFT(VLOOKUP(M86,OFFSET(設定!$D$2:$I$25,0,AA86),5,FALSE),INT(LEN(VLOOKUP(M86,OFFSET(設定!$D$2:$I$25,0,AA86),5,FALSE))-1))),IF(VLOOKUP(M86,OFFSET(設定!$D$2:$I$25,0,AA86),5,FALSE)="-","-",INT(VLOOKUP(M86,OFFSET(設定!$D$2:$I$25,0,AA86),5,FALSE)))))</f>
        <v/>
      </c>
      <c r="AC86" s="1" t="str">
        <f ca="1">IF(M86="","",IF(AND(Z86,N86="〇"),IF(VLOOKUP(M86,OFFSET(設定!$D$2:$I$25,0,AA86),6,FALSE)="-","-",LEFT(VLOOKUP(M86,OFFSET(設定!$D$2:$I$25,0,AA86),6,FALSE),INT(LEN(VLOOKUP(M86,OFFSET(設定!$D$2:$I$25,0,AA86),6,FALSE))-1))),IF(VLOOKUP(M86,OFFSET(設定!$D$2:$I$25,0,AA86),6,FALSE)="-","-",INT(VLOOKUP(M86,OFFSET(設定!$D$2:$I$25,0,AA86),6,FALSE)))))</f>
        <v/>
      </c>
      <c r="AD86">
        <f t="shared" si="116"/>
        <v>2</v>
      </c>
      <c r="AE86" t="str">
        <f t="shared" ca="1" si="93"/>
        <v/>
      </c>
      <c r="AF86" t="str">
        <f t="shared" ca="1" si="94"/>
        <v/>
      </c>
      <c r="AG86" t="str">
        <f t="shared" ca="1" si="95"/>
        <v/>
      </c>
      <c r="AH86" t="b">
        <f t="shared" ca="1" si="96"/>
        <v>1</v>
      </c>
      <c r="AI86" t="b">
        <f t="shared" ca="1" si="97"/>
        <v>0</v>
      </c>
      <c r="AJ86" t="b">
        <f t="shared" ca="1" si="98"/>
        <v>0</v>
      </c>
      <c r="AK86" t="b">
        <f t="shared" si="99"/>
        <v>0</v>
      </c>
      <c r="AL86" t="b">
        <f t="shared" si="100"/>
        <v>0</v>
      </c>
      <c r="AM86" t="b">
        <f t="shared" si="101"/>
        <v>0</v>
      </c>
      <c r="AN86" t="b">
        <f t="shared" si="102"/>
        <v>0</v>
      </c>
      <c r="AO86" t="b">
        <f>IF(COUNTIF($D$6:D85,F86&amp;G86&amp;W86)&gt;0,AK86,FALSE)</f>
        <v>0</v>
      </c>
      <c r="AP86" t="b">
        <f t="shared" ca="1" si="117"/>
        <v>0</v>
      </c>
      <c r="AQ86" t="b">
        <f t="shared" si="103"/>
        <v>0</v>
      </c>
      <c r="AR86" t="b">
        <f t="shared" si="104"/>
        <v>0</v>
      </c>
      <c r="AS86" t="b">
        <f t="shared" ca="1" si="105"/>
        <v>0</v>
      </c>
      <c r="AT86" t="b">
        <f t="shared" ca="1" si="106"/>
        <v>0</v>
      </c>
      <c r="AU86" t="b">
        <f ca="1">IF(COUNTIF(設定!$B$6:$B$11,SUMIF($B$6:B85,G86&amp;W86,$C$6:C85)+IF(AI86,10,IF(AJ86,1,0)))=1,FALSE,AK86)</f>
        <v>0</v>
      </c>
      <c r="AV86" t="b">
        <f t="shared" ca="1" si="107"/>
        <v>0</v>
      </c>
      <c r="AW86" t="b">
        <f t="shared" ca="1" si="108"/>
        <v>0</v>
      </c>
      <c r="AX86" t="b">
        <f t="shared" si="109"/>
        <v>0</v>
      </c>
      <c r="AY86" t="b">
        <f t="shared" si="110"/>
        <v>0</v>
      </c>
      <c r="AZ86" t="b">
        <f t="shared" si="111"/>
        <v>0</v>
      </c>
      <c r="BA86" t="b">
        <f>IF(AND(設定!$B$2&lt;=T86,T86&lt;=設定!$B$3),FALSE,AK86)</f>
        <v>0</v>
      </c>
      <c r="BC86">
        <f t="shared" ca="1" si="112"/>
        <v>0</v>
      </c>
      <c r="BD86">
        <f t="shared" si="118"/>
        <v>81</v>
      </c>
      <c r="BE86" t="str">
        <f t="shared" si="113"/>
        <v/>
      </c>
      <c r="BF86">
        <f>IF(BG86&lt;&gt;"",MAX($BF$6:BF85)+1,0)</f>
        <v>0</v>
      </c>
      <c r="BG86" t="str">
        <f>IF(BE86&lt;&gt;"",IF(COUNTIF($BE$6:BE85,BE86)&gt;0,"",BE86),"")</f>
        <v/>
      </c>
      <c r="BH86" t="str">
        <f t="shared" si="114"/>
        <v/>
      </c>
      <c r="BI86">
        <f>IF(BJ86&lt;&gt;"",MAX($BI$6:BI85)+1,0)</f>
        <v>0</v>
      </c>
      <c r="BJ86" t="str">
        <f>IF(BH86&lt;&gt;"",IF(COUNTIF($BE$6:BH85,BH86)&gt;0,"",BH86),"")</f>
        <v/>
      </c>
    </row>
    <row r="87" spans="1:62" ht="16.5" customHeight="1">
      <c r="A87" t="str">
        <f t="shared" si="85"/>
        <v/>
      </c>
      <c r="B87" t="str">
        <f t="shared" si="86"/>
        <v/>
      </c>
      <c r="C87">
        <f t="shared" ca="1" si="87"/>
        <v>0</v>
      </c>
      <c r="D87" t="str">
        <f t="shared" si="88"/>
        <v/>
      </c>
      <c r="E87">
        <f>IF(B87="",0,LARGE($E$5:E86,1)+1)</f>
        <v>0</v>
      </c>
      <c r="F87" s="44"/>
      <c r="G87" s="45"/>
      <c r="H87" s="7" t="str">
        <f>IF(AND(F87="",G87=""),"",VLOOKUP(学校情報!$B$5&amp;F87&amp;G87,選手データ!$A:$H,4,FALSE))</f>
        <v/>
      </c>
      <c r="I87" s="7" t="str">
        <f>IF(AND(F87="",G87=""),"",VLOOKUP(学校情報!$B$5&amp;F87&amp;G87,選手データ!$A:$H,5,FALSE))</f>
        <v/>
      </c>
      <c r="J87" s="8" t="str">
        <f>IF(AND(F87="",G87=""),"",VLOOKUP(学校情報!$B$5&amp;F87&amp;G87,選手データ!$A:$H,6,FALSE))</f>
        <v/>
      </c>
      <c r="K87" s="32" t="str">
        <f>IF(AND(F87="",G87=""),"",VLOOKUP(学校情報!$B$5&amp;F87&amp;G87,選手データ!$A:$H,8,FALSE))</f>
        <v/>
      </c>
      <c r="L87" s="7" t="str">
        <f>IF(AND(F87="",G87=""),"",VLOOKUP(学校情報!$B$5&amp;F87&amp;G87,選手データ!$A:$I,9,FALSE))</f>
        <v/>
      </c>
      <c r="M87" s="44"/>
      <c r="N87" s="46"/>
      <c r="O87" s="47"/>
      <c r="P87" s="7" t="str">
        <f t="shared" ca="1" si="89"/>
        <v/>
      </c>
      <c r="Q87" s="46"/>
      <c r="R87" s="48"/>
      <c r="S87" s="45"/>
      <c r="T87" s="49"/>
      <c r="U87" s="8" t="str">
        <f t="shared" ca="1" si="90"/>
        <v/>
      </c>
      <c r="V87" s="8" t="str">
        <f t="shared" si="91"/>
        <v/>
      </c>
      <c r="W87" s="4">
        <f t="shared" si="92"/>
        <v>0</v>
      </c>
      <c r="X87" t="b">
        <f ca="1">IF(M87="",FALSE,VLOOKUP(M87,OFFSET(設定!$D$2:$I$25,0,AA87),2,FALSE))</f>
        <v>0</v>
      </c>
      <c r="Y87" t="str">
        <f ca="1">IF(M87="","",VLOOKUP(M87,OFFSET(設定!$D$2:$I$25,0,AA87),3,FALSE))</f>
        <v/>
      </c>
      <c r="Z87" t="b">
        <f ca="1">IF(M87="",FALSE,VLOOKUP(M87,OFFSET(設定!$D$2:$I$25,0,AA87),4,FALSE))</f>
        <v>0</v>
      </c>
      <c r="AA87">
        <f t="shared" si="115"/>
        <v>7</v>
      </c>
      <c r="AB87" s="1" t="str">
        <f ca="1">IF(M87="","",IF(AND(Z87,N87="〇"),IF(VLOOKUP(M87,OFFSET(設定!$D$2:$I$25,0,AA87),5,FALSE)="-","-",LEFT(VLOOKUP(M87,OFFSET(設定!$D$2:$I$25,0,AA87),5,FALSE),INT(LEN(VLOOKUP(M87,OFFSET(設定!$D$2:$I$25,0,AA87),5,FALSE))-1))),IF(VLOOKUP(M87,OFFSET(設定!$D$2:$I$25,0,AA87),5,FALSE)="-","-",INT(VLOOKUP(M87,OFFSET(設定!$D$2:$I$25,0,AA87),5,FALSE)))))</f>
        <v/>
      </c>
      <c r="AC87" s="1" t="str">
        <f ca="1">IF(M87="","",IF(AND(Z87,N87="〇"),IF(VLOOKUP(M87,OFFSET(設定!$D$2:$I$25,0,AA87),6,FALSE)="-","-",LEFT(VLOOKUP(M87,OFFSET(設定!$D$2:$I$25,0,AA87),6,FALSE),INT(LEN(VLOOKUP(M87,OFFSET(設定!$D$2:$I$25,0,AA87),6,FALSE))-1))),IF(VLOOKUP(M87,OFFSET(設定!$D$2:$I$25,0,AA87),6,FALSE)="-","-",INT(VLOOKUP(M87,OFFSET(設定!$D$2:$I$25,0,AA87),6,FALSE)))))</f>
        <v/>
      </c>
      <c r="AD87">
        <f t="shared" si="116"/>
        <v>2</v>
      </c>
      <c r="AE87" t="str">
        <f t="shared" ca="1" si="93"/>
        <v/>
      </c>
      <c r="AF87" t="str">
        <f t="shared" ca="1" si="94"/>
        <v/>
      </c>
      <c r="AG87" t="str">
        <f t="shared" ca="1" si="95"/>
        <v/>
      </c>
      <c r="AH87" t="b">
        <f t="shared" ca="1" si="96"/>
        <v>1</v>
      </c>
      <c r="AI87" t="b">
        <f t="shared" ca="1" si="97"/>
        <v>0</v>
      </c>
      <c r="AJ87" t="b">
        <f t="shared" ca="1" si="98"/>
        <v>0</v>
      </c>
      <c r="AK87" t="b">
        <f t="shared" si="99"/>
        <v>0</v>
      </c>
      <c r="AL87" t="b">
        <f t="shared" si="100"/>
        <v>0</v>
      </c>
      <c r="AM87" t="b">
        <f t="shared" si="101"/>
        <v>0</v>
      </c>
      <c r="AN87" t="b">
        <f t="shared" si="102"/>
        <v>0</v>
      </c>
      <c r="AO87" t="b">
        <f>IF(COUNTIF($D$6:D86,F87&amp;G87&amp;W87)&gt;0,AK87,FALSE)</f>
        <v>0</v>
      </c>
      <c r="AP87" t="b">
        <f t="shared" ca="1" si="117"/>
        <v>0</v>
      </c>
      <c r="AQ87" t="b">
        <f t="shared" si="103"/>
        <v>0</v>
      </c>
      <c r="AR87" t="b">
        <f t="shared" si="104"/>
        <v>0</v>
      </c>
      <c r="AS87" t="b">
        <f t="shared" ca="1" si="105"/>
        <v>0</v>
      </c>
      <c r="AT87" t="b">
        <f t="shared" ca="1" si="106"/>
        <v>0</v>
      </c>
      <c r="AU87" t="b">
        <f ca="1">IF(COUNTIF(設定!$B$6:$B$11,SUMIF($B$6:B86,G87&amp;W87,$C$6:C86)+IF(AI87,10,IF(AJ87,1,0)))=1,FALSE,AK87)</f>
        <v>0</v>
      </c>
      <c r="AV87" t="b">
        <f t="shared" ca="1" si="107"/>
        <v>0</v>
      </c>
      <c r="AW87" t="b">
        <f t="shared" ca="1" si="108"/>
        <v>0</v>
      </c>
      <c r="AX87" t="b">
        <f t="shared" si="109"/>
        <v>0</v>
      </c>
      <c r="AY87" t="b">
        <f t="shared" si="110"/>
        <v>0</v>
      </c>
      <c r="AZ87" t="b">
        <f t="shared" si="111"/>
        <v>0</v>
      </c>
      <c r="BA87" t="b">
        <f>IF(AND(設定!$B$2&lt;=T87,T87&lt;=設定!$B$3),FALSE,AK87)</f>
        <v>0</v>
      </c>
      <c r="BC87">
        <f t="shared" ca="1" si="112"/>
        <v>0</v>
      </c>
      <c r="BD87">
        <f t="shared" si="118"/>
        <v>82</v>
      </c>
      <c r="BE87" t="str">
        <f t="shared" si="113"/>
        <v/>
      </c>
      <c r="BF87">
        <f>IF(BG87&lt;&gt;"",MAX($BF$6:BF86)+1,0)</f>
        <v>0</v>
      </c>
      <c r="BG87" t="str">
        <f>IF(BE87&lt;&gt;"",IF(COUNTIF($BE$6:BE86,BE87)&gt;0,"",BE87),"")</f>
        <v/>
      </c>
      <c r="BH87" t="str">
        <f t="shared" si="114"/>
        <v/>
      </c>
      <c r="BI87">
        <f>IF(BJ87&lt;&gt;"",MAX($BI$6:BI86)+1,0)</f>
        <v>0</v>
      </c>
      <c r="BJ87" t="str">
        <f>IF(BH87&lt;&gt;"",IF(COUNTIF($BE$6:BH86,BH87)&gt;0,"",BH87),"")</f>
        <v/>
      </c>
    </row>
    <row r="88" spans="1:62" ht="16.5" customHeight="1">
      <c r="A88" t="str">
        <f t="shared" si="85"/>
        <v/>
      </c>
      <c r="B88" t="str">
        <f t="shared" si="86"/>
        <v/>
      </c>
      <c r="C88">
        <f t="shared" ca="1" si="87"/>
        <v>0</v>
      </c>
      <c r="D88" t="str">
        <f t="shared" si="88"/>
        <v/>
      </c>
      <c r="E88">
        <f>IF(B88="",0,LARGE($E$5:E87,1)+1)</f>
        <v>0</v>
      </c>
      <c r="F88" s="44"/>
      <c r="G88" s="45"/>
      <c r="H88" s="7" t="str">
        <f>IF(AND(F88="",G88=""),"",VLOOKUP(学校情報!$B$5&amp;F88&amp;G88,選手データ!$A:$H,4,FALSE))</f>
        <v/>
      </c>
      <c r="I88" s="7" t="str">
        <f>IF(AND(F88="",G88=""),"",VLOOKUP(学校情報!$B$5&amp;F88&amp;G88,選手データ!$A:$H,5,FALSE))</f>
        <v/>
      </c>
      <c r="J88" s="8" t="str">
        <f>IF(AND(F88="",G88=""),"",VLOOKUP(学校情報!$B$5&amp;F88&amp;G88,選手データ!$A:$H,6,FALSE))</f>
        <v/>
      </c>
      <c r="K88" s="32" t="str">
        <f>IF(AND(F88="",G88=""),"",VLOOKUP(学校情報!$B$5&amp;F88&amp;G88,選手データ!$A:$H,8,FALSE))</f>
        <v/>
      </c>
      <c r="L88" s="7" t="str">
        <f>IF(AND(F88="",G88=""),"",VLOOKUP(学校情報!$B$5&amp;F88&amp;G88,選手データ!$A:$I,9,FALSE))</f>
        <v/>
      </c>
      <c r="M88" s="44"/>
      <c r="N88" s="46"/>
      <c r="O88" s="47"/>
      <c r="P88" s="7" t="str">
        <f t="shared" ca="1" si="89"/>
        <v/>
      </c>
      <c r="Q88" s="46"/>
      <c r="R88" s="48"/>
      <c r="S88" s="45"/>
      <c r="T88" s="49"/>
      <c r="U88" s="8" t="str">
        <f t="shared" ca="1" si="90"/>
        <v/>
      </c>
      <c r="V88" s="8" t="str">
        <f t="shared" si="91"/>
        <v/>
      </c>
      <c r="W88" s="4">
        <f t="shared" si="92"/>
        <v>0</v>
      </c>
      <c r="X88" t="b">
        <f ca="1">IF(M88="",FALSE,VLOOKUP(M88,OFFSET(設定!$D$2:$I$25,0,AA88),2,FALSE))</f>
        <v>0</v>
      </c>
      <c r="Y88" t="str">
        <f ca="1">IF(M88="","",VLOOKUP(M88,OFFSET(設定!$D$2:$I$25,0,AA88),3,FALSE))</f>
        <v/>
      </c>
      <c r="Z88" t="b">
        <f ca="1">IF(M88="",FALSE,VLOOKUP(M88,OFFSET(設定!$D$2:$I$25,0,AA88),4,FALSE))</f>
        <v>0</v>
      </c>
      <c r="AA88">
        <f t="shared" si="115"/>
        <v>7</v>
      </c>
      <c r="AB88" s="1" t="str">
        <f ca="1">IF(M88="","",IF(AND(Z88,N88="〇"),IF(VLOOKUP(M88,OFFSET(設定!$D$2:$I$25,0,AA88),5,FALSE)="-","-",LEFT(VLOOKUP(M88,OFFSET(設定!$D$2:$I$25,0,AA88),5,FALSE),INT(LEN(VLOOKUP(M88,OFFSET(設定!$D$2:$I$25,0,AA88),5,FALSE))-1))),IF(VLOOKUP(M88,OFFSET(設定!$D$2:$I$25,0,AA88),5,FALSE)="-","-",INT(VLOOKUP(M88,OFFSET(設定!$D$2:$I$25,0,AA88),5,FALSE)))))</f>
        <v/>
      </c>
      <c r="AC88" s="1" t="str">
        <f ca="1">IF(M88="","",IF(AND(Z88,N88="〇"),IF(VLOOKUP(M88,OFFSET(設定!$D$2:$I$25,0,AA88),6,FALSE)="-","-",LEFT(VLOOKUP(M88,OFFSET(設定!$D$2:$I$25,0,AA88),6,FALSE),INT(LEN(VLOOKUP(M88,OFFSET(設定!$D$2:$I$25,0,AA88),6,FALSE))-1))),IF(VLOOKUP(M88,OFFSET(設定!$D$2:$I$25,0,AA88),6,FALSE)="-","-",INT(VLOOKUP(M88,OFFSET(設定!$D$2:$I$25,0,AA88),6,FALSE)))))</f>
        <v/>
      </c>
      <c r="AD88">
        <f t="shared" si="116"/>
        <v>2</v>
      </c>
      <c r="AE88" t="str">
        <f t="shared" ca="1" si="93"/>
        <v/>
      </c>
      <c r="AF88" t="str">
        <f t="shared" ca="1" si="94"/>
        <v/>
      </c>
      <c r="AG88" t="str">
        <f t="shared" ca="1" si="95"/>
        <v/>
      </c>
      <c r="AH88" t="b">
        <f t="shared" ca="1" si="96"/>
        <v>1</v>
      </c>
      <c r="AI88" t="b">
        <f t="shared" ca="1" si="97"/>
        <v>0</v>
      </c>
      <c r="AJ88" t="b">
        <f t="shared" ca="1" si="98"/>
        <v>0</v>
      </c>
      <c r="AK88" t="b">
        <f t="shared" si="99"/>
        <v>0</v>
      </c>
      <c r="AL88" t="b">
        <f t="shared" si="100"/>
        <v>0</v>
      </c>
      <c r="AM88" t="b">
        <f t="shared" si="101"/>
        <v>0</v>
      </c>
      <c r="AN88" t="b">
        <f t="shared" si="102"/>
        <v>0</v>
      </c>
      <c r="AO88" t="b">
        <f>IF(COUNTIF($D$6:D87,F88&amp;G88&amp;W88)&gt;0,AK88,FALSE)</f>
        <v>0</v>
      </c>
      <c r="AP88" t="b">
        <f t="shared" ca="1" si="117"/>
        <v>0</v>
      </c>
      <c r="AQ88" t="b">
        <f t="shared" si="103"/>
        <v>0</v>
      </c>
      <c r="AR88" t="b">
        <f t="shared" si="104"/>
        <v>0</v>
      </c>
      <c r="AS88" t="b">
        <f t="shared" ca="1" si="105"/>
        <v>0</v>
      </c>
      <c r="AT88" t="b">
        <f t="shared" ca="1" si="106"/>
        <v>0</v>
      </c>
      <c r="AU88" t="b">
        <f ca="1">IF(COUNTIF(設定!$B$6:$B$11,SUMIF($B$6:B87,G88&amp;W88,$C$6:C87)+IF(AI88,10,IF(AJ88,1,0)))=1,FALSE,AK88)</f>
        <v>0</v>
      </c>
      <c r="AV88" t="b">
        <f t="shared" ca="1" si="107"/>
        <v>0</v>
      </c>
      <c r="AW88" t="b">
        <f t="shared" ca="1" si="108"/>
        <v>0</v>
      </c>
      <c r="AX88" t="b">
        <f t="shared" si="109"/>
        <v>0</v>
      </c>
      <c r="AY88" t="b">
        <f t="shared" si="110"/>
        <v>0</v>
      </c>
      <c r="AZ88" t="b">
        <f t="shared" si="111"/>
        <v>0</v>
      </c>
      <c r="BA88" t="b">
        <f>IF(AND(設定!$B$2&lt;=T88,T88&lt;=設定!$B$3),FALSE,AK88)</f>
        <v>0</v>
      </c>
      <c r="BC88">
        <f t="shared" ca="1" si="112"/>
        <v>0</v>
      </c>
      <c r="BD88">
        <f t="shared" si="118"/>
        <v>83</v>
      </c>
      <c r="BE88" t="str">
        <f t="shared" si="113"/>
        <v/>
      </c>
      <c r="BF88">
        <f>IF(BG88&lt;&gt;"",MAX($BF$6:BF87)+1,0)</f>
        <v>0</v>
      </c>
      <c r="BG88" t="str">
        <f>IF(BE88&lt;&gt;"",IF(COUNTIF($BE$6:BE87,BE88)&gt;0,"",BE88),"")</f>
        <v/>
      </c>
      <c r="BH88" t="str">
        <f t="shared" si="114"/>
        <v/>
      </c>
      <c r="BI88">
        <f>IF(BJ88&lt;&gt;"",MAX($BI$6:BI87)+1,0)</f>
        <v>0</v>
      </c>
      <c r="BJ88" t="str">
        <f>IF(BH88&lt;&gt;"",IF(COUNTIF($BE$6:BH87,BH88)&gt;0,"",BH88),"")</f>
        <v/>
      </c>
    </row>
    <row r="89" spans="1:62" ht="16.5" customHeight="1">
      <c r="A89" t="str">
        <f t="shared" si="85"/>
        <v/>
      </c>
      <c r="B89" t="str">
        <f t="shared" si="86"/>
        <v/>
      </c>
      <c r="C89">
        <f t="shared" ca="1" si="87"/>
        <v>0</v>
      </c>
      <c r="D89" t="str">
        <f t="shared" si="88"/>
        <v/>
      </c>
      <c r="E89">
        <f>IF(B89="",0,LARGE($E$5:E88,1)+1)</f>
        <v>0</v>
      </c>
      <c r="F89" s="44"/>
      <c r="G89" s="45"/>
      <c r="H89" s="7" t="str">
        <f>IF(AND(F89="",G89=""),"",VLOOKUP(学校情報!$B$5&amp;F89&amp;G89,選手データ!$A:$H,4,FALSE))</f>
        <v/>
      </c>
      <c r="I89" s="7" t="str">
        <f>IF(AND(F89="",G89=""),"",VLOOKUP(学校情報!$B$5&amp;F89&amp;G89,選手データ!$A:$H,5,FALSE))</f>
        <v/>
      </c>
      <c r="J89" s="8" t="str">
        <f>IF(AND(F89="",G89=""),"",VLOOKUP(学校情報!$B$5&amp;F89&amp;G89,選手データ!$A:$H,6,FALSE))</f>
        <v/>
      </c>
      <c r="K89" s="32" t="str">
        <f>IF(AND(F89="",G89=""),"",VLOOKUP(学校情報!$B$5&amp;F89&amp;G89,選手データ!$A:$H,8,FALSE))</f>
        <v/>
      </c>
      <c r="L89" s="7" t="str">
        <f>IF(AND(F89="",G89=""),"",VLOOKUP(学校情報!$B$5&amp;F89&amp;G89,選手データ!$A:$I,9,FALSE))</f>
        <v/>
      </c>
      <c r="M89" s="44"/>
      <c r="N89" s="46"/>
      <c r="O89" s="47"/>
      <c r="P89" s="7" t="str">
        <f t="shared" ca="1" si="89"/>
        <v/>
      </c>
      <c r="Q89" s="46"/>
      <c r="R89" s="48"/>
      <c r="S89" s="45"/>
      <c r="T89" s="49"/>
      <c r="U89" s="8" t="str">
        <f t="shared" ca="1" si="90"/>
        <v/>
      </c>
      <c r="V89" s="8" t="str">
        <f t="shared" si="91"/>
        <v/>
      </c>
      <c r="W89" s="4">
        <f t="shared" si="92"/>
        <v>0</v>
      </c>
      <c r="X89" t="b">
        <f ca="1">IF(M89="",FALSE,VLOOKUP(M89,OFFSET(設定!$D$2:$I$25,0,AA89),2,FALSE))</f>
        <v>0</v>
      </c>
      <c r="Y89" t="str">
        <f ca="1">IF(M89="","",VLOOKUP(M89,OFFSET(設定!$D$2:$I$25,0,AA89),3,FALSE))</f>
        <v/>
      </c>
      <c r="Z89" t="b">
        <f ca="1">IF(M89="",FALSE,VLOOKUP(M89,OFFSET(設定!$D$2:$I$25,0,AA89),4,FALSE))</f>
        <v>0</v>
      </c>
      <c r="AA89">
        <f t="shared" si="115"/>
        <v>7</v>
      </c>
      <c r="AB89" s="1" t="str">
        <f ca="1">IF(M89="","",IF(AND(Z89,N89="〇"),IF(VLOOKUP(M89,OFFSET(設定!$D$2:$I$25,0,AA89),5,FALSE)="-","-",LEFT(VLOOKUP(M89,OFFSET(設定!$D$2:$I$25,0,AA89),5,FALSE),INT(LEN(VLOOKUP(M89,OFFSET(設定!$D$2:$I$25,0,AA89),5,FALSE))-1))),IF(VLOOKUP(M89,OFFSET(設定!$D$2:$I$25,0,AA89),5,FALSE)="-","-",INT(VLOOKUP(M89,OFFSET(設定!$D$2:$I$25,0,AA89),5,FALSE)))))</f>
        <v/>
      </c>
      <c r="AC89" s="1" t="str">
        <f ca="1">IF(M89="","",IF(AND(Z89,N89="〇"),IF(VLOOKUP(M89,OFFSET(設定!$D$2:$I$25,0,AA89),6,FALSE)="-","-",LEFT(VLOOKUP(M89,OFFSET(設定!$D$2:$I$25,0,AA89),6,FALSE),INT(LEN(VLOOKUP(M89,OFFSET(設定!$D$2:$I$25,0,AA89),6,FALSE))-1))),IF(VLOOKUP(M89,OFFSET(設定!$D$2:$I$25,0,AA89),6,FALSE)="-","-",INT(VLOOKUP(M89,OFFSET(設定!$D$2:$I$25,0,AA89),6,FALSE)))))</f>
        <v/>
      </c>
      <c r="AD89">
        <f t="shared" si="116"/>
        <v>2</v>
      </c>
      <c r="AE89" t="str">
        <f t="shared" ca="1" si="93"/>
        <v/>
      </c>
      <c r="AF89" t="str">
        <f t="shared" ca="1" si="94"/>
        <v/>
      </c>
      <c r="AG89" t="str">
        <f t="shared" ca="1" si="95"/>
        <v/>
      </c>
      <c r="AH89" t="b">
        <f t="shared" ca="1" si="96"/>
        <v>1</v>
      </c>
      <c r="AI89" t="b">
        <f t="shared" ca="1" si="97"/>
        <v>0</v>
      </c>
      <c r="AJ89" t="b">
        <f t="shared" ca="1" si="98"/>
        <v>0</v>
      </c>
      <c r="AK89" t="b">
        <f t="shared" si="99"/>
        <v>0</v>
      </c>
      <c r="AL89" t="b">
        <f t="shared" si="100"/>
        <v>0</v>
      </c>
      <c r="AM89" t="b">
        <f t="shared" si="101"/>
        <v>0</v>
      </c>
      <c r="AN89" t="b">
        <f t="shared" si="102"/>
        <v>0</v>
      </c>
      <c r="AO89" t="b">
        <f>IF(COUNTIF($D$6:D88,F89&amp;G89&amp;W89)&gt;0,AK89,FALSE)</f>
        <v>0</v>
      </c>
      <c r="AP89" t="b">
        <f t="shared" ca="1" si="117"/>
        <v>0</v>
      </c>
      <c r="AQ89" t="b">
        <f t="shared" si="103"/>
        <v>0</v>
      </c>
      <c r="AR89" t="b">
        <f t="shared" si="104"/>
        <v>0</v>
      </c>
      <c r="AS89" t="b">
        <f t="shared" ca="1" si="105"/>
        <v>0</v>
      </c>
      <c r="AT89" t="b">
        <f t="shared" ca="1" si="106"/>
        <v>0</v>
      </c>
      <c r="AU89" t="b">
        <f ca="1">IF(COUNTIF(設定!$B$6:$B$11,SUMIF($B$6:B88,G89&amp;W89,$C$6:C88)+IF(AI89,10,IF(AJ89,1,0)))=1,FALSE,AK89)</f>
        <v>0</v>
      </c>
      <c r="AV89" t="b">
        <f t="shared" ca="1" si="107"/>
        <v>0</v>
      </c>
      <c r="AW89" t="b">
        <f t="shared" ca="1" si="108"/>
        <v>0</v>
      </c>
      <c r="AX89" t="b">
        <f t="shared" si="109"/>
        <v>0</v>
      </c>
      <c r="AY89" t="b">
        <f t="shared" si="110"/>
        <v>0</v>
      </c>
      <c r="AZ89" t="b">
        <f t="shared" si="111"/>
        <v>0</v>
      </c>
      <c r="BA89" t="b">
        <f>IF(AND(設定!$B$2&lt;=T89,T89&lt;=設定!$B$3),FALSE,AK89)</f>
        <v>0</v>
      </c>
      <c r="BC89">
        <f t="shared" ca="1" si="112"/>
        <v>0</v>
      </c>
      <c r="BD89">
        <f t="shared" si="118"/>
        <v>84</v>
      </c>
      <c r="BE89" t="str">
        <f t="shared" si="113"/>
        <v/>
      </c>
      <c r="BF89">
        <f>IF(BG89&lt;&gt;"",MAX($BF$6:BF88)+1,0)</f>
        <v>0</v>
      </c>
      <c r="BG89" t="str">
        <f>IF(BE89&lt;&gt;"",IF(COUNTIF($BE$6:BE88,BE89)&gt;0,"",BE89),"")</f>
        <v/>
      </c>
      <c r="BH89" t="str">
        <f t="shared" si="114"/>
        <v/>
      </c>
      <c r="BI89">
        <f>IF(BJ89&lt;&gt;"",MAX($BI$6:BI88)+1,0)</f>
        <v>0</v>
      </c>
      <c r="BJ89" t="str">
        <f>IF(BH89&lt;&gt;"",IF(COUNTIF($BE$6:BH88,BH89)&gt;0,"",BH89),"")</f>
        <v/>
      </c>
    </row>
    <row r="90" spans="1:62" ht="16.5" customHeight="1">
      <c r="A90" t="str">
        <f t="shared" si="85"/>
        <v/>
      </c>
      <c r="B90" t="str">
        <f t="shared" si="86"/>
        <v/>
      </c>
      <c r="C90">
        <f t="shared" ca="1" si="87"/>
        <v>0</v>
      </c>
      <c r="D90" t="str">
        <f t="shared" si="88"/>
        <v/>
      </c>
      <c r="E90">
        <f>IF(B90="",0,LARGE($E$5:E89,1)+1)</f>
        <v>0</v>
      </c>
      <c r="F90" s="44"/>
      <c r="G90" s="45"/>
      <c r="H90" s="7" t="str">
        <f>IF(AND(F90="",G90=""),"",VLOOKUP(学校情報!$B$5&amp;F90&amp;G90,選手データ!$A:$H,4,FALSE))</f>
        <v/>
      </c>
      <c r="I90" s="7" t="str">
        <f>IF(AND(F90="",G90=""),"",VLOOKUP(学校情報!$B$5&amp;F90&amp;G90,選手データ!$A:$H,5,FALSE))</f>
        <v/>
      </c>
      <c r="J90" s="8" t="str">
        <f>IF(AND(F90="",G90=""),"",VLOOKUP(学校情報!$B$5&amp;F90&amp;G90,選手データ!$A:$H,6,FALSE))</f>
        <v/>
      </c>
      <c r="K90" s="32" t="str">
        <f>IF(AND(F90="",G90=""),"",VLOOKUP(学校情報!$B$5&amp;F90&amp;G90,選手データ!$A:$H,8,FALSE))</f>
        <v/>
      </c>
      <c r="L90" s="7" t="str">
        <f>IF(AND(F90="",G90=""),"",VLOOKUP(学校情報!$B$5&amp;F90&amp;G90,選手データ!$A:$I,9,FALSE))</f>
        <v/>
      </c>
      <c r="M90" s="44"/>
      <c r="N90" s="46"/>
      <c r="O90" s="47"/>
      <c r="P90" s="7" t="str">
        <f t="shared" ca="1" si="89"/>
        <v/>
      </c>
      <c r="Q90" s="46"/>
      <c r="R90" s="48"/>
      <c r="S90" s="45"/>
      <c r="T90" s="49"/>
      <c r="U90" s="8" t="str">
        <f t="shared" ca="1" si="90"/>
        <v/>
      </c>
      <c r="V90" s="8" t="str">
        <f t="shared" si="91"/>
        <v/>
      </c>
      <c r="W90" s="4">
        <f t="shared" si="92"/>
        <v>0</v>
      </c>
      <c r="X90" t="b">
        <f ca="1">IF(M90="",FALSE,VLOOKUP(M90,OFFSET(設定!$D$2:$I$25,0,AA90),2,FALSE))</f>
        <v>0</v>
      </c>
      <c r="Y90" t="str">
        <f ca="1">IF(M90="","",VLOOKUP(M90,OFFSET(設定!$D$2:$I$25,0,AA90),3,FALSE))</f>
        <v/>
      </c>
      <c r="Z90" t="b">
        <f ca="1">IF(M90="",FALSE,VLOOKUP(M90,OFFSET(設定!$D$2:$I$25,0,AA90),4,FALSE))</f>
        <v>0</v>
      </c>
      <c r="AA90">
        <f t="shared" si="115"/>
        <v>7</v>
      </c>
      <c r="AB90" s="1" t="str">
        <f ca="1">IF(M90="","",IF(AND(Z90,N90="〇"),IF(VLOOKUP(M90,OFFSET(設定!$D$2:$I$25,0,AA90),5,FALSE)="-","-",LEFT(VLOOKUP(M90,OFFSET(設定!$D$2:$I$25,0,AA90),5,FALSE),INT(LEN(VLOOKUP(M90,OFFSET(設定!$D$2:$I$25,0,AA90),5,FALSE))-1))),IF(VLOOKUP(M90,OFFSET(設定!$D$2:$I$25,0,AA90),5,FALSE)="-","-",INT(VLOOKUP(M90,OFFSET(設定!$D$2:$I$25,0,AA90),5,FALSE)))))</f>
        <v/>
      </c>
      <c r="AC90" s="1" t="str">
        <f ca="1">IF(M90="","",IF(AND(Z90,N90="〇"),IF(VLOOKUP(M90,OFFSET(設定!$D$2:$I$25,0,AA90),6,FALSE)="-","-",LEFT(VLOOKUP(M90,OFFSET(設定!$D$2:$I$25,0,AA90),6,FALSE),INT(LEN(VLOOKUP(M90,OFFSET(設定!$D$2:$I$25,0,AA90),6,FALSE))-1))),IF(VLOOKUP(M90,OFFSET(設定!$D$2:$I$25,0,AA90),6,FALSE)="-","-",INT(VLOOKUP(M90,OFFSET(設定!$D$2:$I$25,0,AA90),6,FALSE)))))</f>
        <v/>
      </c>
      <c r="AD90">
        <f t="shared" si="116"/>
        <v>2</v>
      </c>
      <c r="AE90" t="str">
        <f t="shared" ca="1" si="93"/>
        <v/>
      </c>
      <c r="AF90" t="str">
        <f t="shared" ca="1" si="94"/>
        <v/>
      </c>
      <c r="AG90" t="str">
        <f t="shared" ca="1" si="95"/>
        <v/>
      </c>
      <c r="AH90" t="b">
        <f t="shared" ca="1" si="96"/>
        <v>1</v>
      </c>
      <c r="AI90" t="b">
        <f t="shared" ca="1" si="97"/>
        <v>0</v>
      </c>
      <c r="AJ90" t="b">
        <f t="shared" ca="1" si="98"/>
        <v>0</v>
      </c>
      <c r="AK90" t="b">
        <f t="shared" si="99"/>
        <v>0</v>
      </c>
      <c r="AL90" t="b">
        <f t="shared" si="100"/>
        <v>0</v>
      </c>
      <c r="AM90" t="b">
        <f t="shared" si="101"/>
        <v>0</v>
      </c>
      <c r="AN90" t="b">
        <f t="shared" si="102"/>
        <v>0</v>
      </c>
      <c r="AO90" t="b">
        <f>IF(COUNTIF($D$6:D89,F90&amp;G90&amp;W90)&gt;0,AK90,FALSE)</f>
        <v>0</v>
      </c>
      <c r="AP90" t="b">
        <f t="shared" ca="1" si="117"/>
        <v>0</v>
      </c>
      <c r="AQ90" t="b">
        <f t="shared" si="103"/>
        <v>0</v>
      </c>
      <c r="AR90" t="b">
        <f t="shared" si="104"/>
        <v>0</v>
      </c>
      <c r="AS90" t="b">
        <f t="shared" ca="1" si="105"/>
        <v>0</v>
      </c>
      <c r="AT90" t="b">
        <f t="shared" ca="1" si="106"/>
        <v>0</v>
      </c>
      <c r="AU90" t="b">
        <f ca="1">IF(COUNTIF(設定!$B$6:$B$11,SUMIF($B$6:B89,G90&amp;W90,$C$6:C89)+IF(AI90,10,IF(AJ90,1,0)))=1,FALSE,AK90)</f>
        <v>0</v>
      </c>
      <c r="AV90" t="b">
        <f t="shared" ca="1" si="107"/>
        <v>0</v>
      </c>
      <c r="AW90" t="b">
        <f t="shared" ca="1" si="108"/>
        <v>0</v>
      </c>
      <c r="AX90" t="b">
        <f t="shared" si="109"/>
        <v>0</v>
      </c>
      <c r="AY90" t="b">
        <f t="shared" si="110"/>
        <v>0</v>
      </c>
      <c r="AZ90" t="b">
        <f t="shared" si="111"/>
        <v>0</v>
      </c>
      <c r="BA90" t="b">
        <f>IF(AND(設定!$B$2&lt;=T90,T90&lt;=設定!$B$3),FALSE,AK90)</f>
        <v>0</v>
      </c>
      <c r="BC90">
        <f t="shared" ca="1" si="112"/>
        <v>0</v>
      </c>
      <c r="BD90">
        <f t="shared" si="118"/>
        <v>85</v>
      </c>
      <c r="BE90" t="str">
        <f t="shared" si="113"/>
        <v/>
      </c>
      <c r="BF90">
        <f>IF(BG90&lt;&gt;"",MAX($BF$6:BF89)+1,0)</f>
        <v>0</v>
      </c>
      <c r="BG90" t="str">
        <f>IF(BE90&lt;&gt;"",IF(COUNTIF($BE$6:BE89,BE90)&gt;0,"",BE90),"")</f>
        <v/>
      </c>
      <c r="BH90" t="str">
        <f t="shared" si="114"/>
        <v/>
      </c>
      <c r="BI90">
        <f>IF(BJ90&lt;&gt;"",MAX($BI$6:BI89)+1,0)</f>
        <v>0</v>
      </c>
      <c r="BJ90" t="str">
        <f>IF(BH90&lt;&gt;"",IF(COUNTIF($BE$6:BH89,BH90)&gt;0,"",BH90),"")</f>
        <v/>
      </c>
    </row>
    <row r="91" spans="1:62" ht="16.5" customHeight="1">
      <c r="A91" t="str">
        <f t="shared" si="85"/>
        <v/>
      </c>
      <c r="B91" t="str">
        <f t="shared" si="86"/>
        <v/>
      </c>
      <c r="C91">
        <f t="shared" ca="1" si="87"/>
        <v>0</v>
      </c>
      <c r="D91" t="str">
        <f t="shared" si="88"/>
        <v/>
      </c>
      <c r="E91">
        <f>IF(B91="",0,LARGE($E$5:E90,1)+1)</f>
        <v>0</v>
      </c>
      <c r="F91" s="44"/>
      <c r="G91" s="45"/>
      <c r="H91" s="7" t="str">
        <f>IF(AND(F91="",G91=""),"",VLOOKUP(学校情報!$B$5&amp;F91&amp;G91,選手データ!$A:$H,4,FALSE))</f>
        <v/>
      </c>
      <c r="I91" s="7" t="str">
        <f>IF(AND(F91="",G91=""),"",VLOOKUP(学校情報!$B$5&amp;F91&amp;G91,選手データ!$A:$H,5,FALSE))</f>
        <v/>
      </c>
      <c r="J91" s="8" t="str">
        <f>IF(AND(F91="",G91=""),"",VLOOKUP(学校情報!$B$5&amp;F91&amp;G91,選手データ!$A:$H,6,FALSE))</f>
        <v/>
      </c>
      <c r="K91" s="32" t="str">
        <f>IF(AND(F91="",G91=""),"",VLOOKUP(学校情報!$B$5&amp;F91&amp;G91,選手データ!$A:$H,8,FALSE))</f>
        <v/>
      </c>
      <c r="L91" s="7" t="str">
        <f>IF(AND(F91="",G91=""),"",VLOOKUP(学校情報!$B$5&amp;F91&amp;G91,選手データ!$A:$I,9,FALSE))</f>
        <v/>
      </c>
      <c r="M91" s="44"/>
      <c r="N91" s="46"/>
      <c r="O91" s="47"/>
      <c r="P91" s="7" t="str">
        <f t="shared" ca="1" si="89"/>
        <v/>
      </c>
      <c r="Q91" s="46"/>
      <c r="R91" s="48"/>
      <c r="S91" s="45"/>
      <c r="T91" s="49"/>
      <c r="U91" s="8" t="str">
        <f t="shared" ca="1" si="90"/>
        <v/>
      </c>
      <c r="V91" s="8" t="str">
        <f t="shared" si="91"/>
        <v/>
      </c>
      <c r="W91" s="4">
        <f t="shared" si="92"/>
        <v>0</v>
      </c>
      <c r="X91" t="b">
        <f ca="1">IF(M91="",FALSE,VLOOKUP(M91,OFFSET(設定!$D$2:$I$25,0,AA91),2,FALSE))</f>
        <v>0</v>
      </c>
      <c r="Y91" t="str">
        <f ca="1">IF(M91="","",VLOOKUP(M91,OFFSET(設定!$D$2:$I$25,0,AA91),3,FALSE))</f>
        <v/>
      </c>
      <c r="Z91" t="b">
        <f ca="1">IF(M91="",FALSE,VLOOKUP(M91,OFFSET(設定!$D$2:$I$25,0,AA91),4,FALSE))</f>
        <v>0</v>
      </c>
      <c r="AA91">
        <f t="shared" si="115"/>
        <v>7</v>
      </c>
      <c r="AB91" s="1" t="str">
        <f ca="1">IF(M91="","",IF(AND(Z91,N91="〇"),IF(VLOOKUP(M91,OFFSET(設定!$D$2:$I$25,0,AA91),5,FALSE)="-","-",LEFT(VLOOKUP(M91,OFFSET(設定!$D$2:$I$25,0,AA91),5,FALSE),INT(LEN(VLOOKUP(M91,OFFSET(設定!$D$2:$I$25,0,AA91),5,FALSE))-1))),IF(VLOOKUP(M91,OFFSET(設定!$D$2:$I$25,0,AA91),5,FALSE)="-","-",INT(VLOOKUP(M91,OFFSET(設定!$D$2:$I$25,0,AA91),5,FALSE)))))</f>
        <v/>
      </c>
      <c r="AC91" s="1" t="str">
        <f ca="1">IF(M91="","",IF(AND(Z91,N91="〇"),IF(VLOOKUP(M91,OFFSET(設定!$D$2:$I$25,0,AA91),6,FALSE)="-","-",LEFT(VLOOKUP(M91,OFFSET(設定!$D$2:$I$25,0,AA91),6,FALSE),INT(LEN(VLOOKUP(M91,OFFSET(設定!$D$2:$I$25,0,AA91),6,FALSE))-1))),IF(VLOOKUP(M91,OFFSET(設定!$D$2:$I$25,0,AA91),6,FALSE)="-","-",INT(VLOOKUP(M91,OFFSET(設定!$D$2:$I$25,0,AA91),6,FALSE)))))</f>
        <v/>
      </c>
      <c r="AD91">
        <f t="shared" si="116"/>
        <v>2</v>
      </c>
      <c r="AE91" t="str">
        <f t="shared" ca="1" si="93"/>
        <v/>
      </c>
      <c r="AF91" t="str">
        <f t="shared" ca="1" si="94"/>
        <v/>
      </c>
      <c r="AG91" t="str">
        <f t="shared" ca="1" si="95"/>
        <v/>
      </c>
      <c r="AH91" t="b">
        <f t="shared" ca="1" si="96"/>
        <v>1</v>
      </c>
      <c r="AI91" t="b">
        <f t="shared" ca="1" si="97"/>
        <v>0</v>
      </c>
      <c r="AJ91" t="b">
        <f t="shared" ca="1" si="98"/>
        <v>0</v>
      </c>
      <c r="AK91" t="b">
        <f t="shared" si="99"/>
        <v>0</v>
      </c>
      <c r="AL91" t="b">
        <f t="shared" si="100"/>
        <v>0</v>
      </c>
      <c r="AM91" t="b">
        <f t="shared" si="101"/>
        <v>0</v>
      </c>
      <c r="AN91" t="b">
        <f t="shared" si="102"/>
        <v>0</v>
      </c>
      <c r="AO91" t="b">
        <f>IF(COUNTIF($D$6:D90,F91&amp;G91&amp;W91)&gt;0,AK91,FALSE)</f>
        <v>0</v>
      </c>
      <c r="AP91" t="b">
        <f t="shared" ca="1" si="117"/>
        <v>0</v>
      </c>
      <c r="AQ91" t="b">
        <f t="shared" si="103"/>
        <v>0</v>
      </c>
      <c r="AR91" t="b">
        <f t="shared" si="104"/>
        <v>0</v>
      </c>
      <c r="AS91" t="b">
        <f t="shared" ca="1" si="105"/>
        <v>0</v>
      </c>
      <c r="AT91" t="b">
        <f t="shared" ca="1" si="106"/>
        <v>0</v>
      </c>
      <c r="AU91" t="b">
        <f ca="1">IF(COUNTIF(設定!$B$6:$B$11,SUMIF($B$6:B90,G91&amp;W91,$C$6:C90)+IF(AI91,10,IF(AJ91,1,0)))=1,FALSE,AK91)</f>
        <v>0</v>
      </c>
      <c r="AV91" t="b">
        <f t="shared" ca="1" si="107"/>
        <v>0</v>
      </c>
      <c r="AW91" t="b">
        <f t="shared" ca="1" si="108"/>
        <v>0</v>
      </c>
      <c r="AX91" t="b">
        <f t="shared" si="109"/>
        <v>0</v>
      </c>
      <c r="AY91" t="b">
        <f t="shared" si="110"/>
        <v>0</v>
      </c>
      <c r="AZ91" t="b">
        <f t="shared" si="111"/>
        <v>0</v>
      </c>
      <c r="BA91" t="b">
        <f>IF(AND(設定!$B$2&lt;=T91,T91&lt;=設定!$B$3),FALSE,AK91)</f>
        <v>0</v>
      </c>
      <c r="BC91">
        <f t="shared" ca="1" si="112"/>
        <v>0</v>
      </c>
      <c r="BD91">
        <f t="shared" si="118"/>
        <v>86</v>
      </c>
      <c r="BE91" t="str">
        <f t="shared" si="113"/>
        <v/>
      </c>
      <c r="BF91">
        <f>IF(BG91&lt;&gt;"",MAX($BF$6:BF90)+1,0)</f>
        <v>0</v>
      </c>
      <c r="BG91" t="str">
        <f>IF(BE91&lt;&gt;"",IF(COUNTIF($BE$6:BE90,BE91)&gt;0,"",BE91),"")</f>
        <v/>
      </c>
      <c r="BH91" t="str">
        <f t="shared" si="114"/>
        <v/>
      </c>
      <c r="BI91">
        <f>IF(BJ91&lt;&gt;"",MAX($BI$6:BI90)+1,0)</f>
        <v>0</v>
      </c>
      <c r="BJ91" t="str">
        <f>IF(BH91&lt;&gt;"",IF(COUNTIF($BE$6:BH90,BH91)&gt;0,"",BH91),"")</f>
        <v/>
      </c>
    </row>
    <row r="92" spans="1:62" ht="16.5" customHeight="1">
      <c r="A92" t="str">
        <f t="shared" si="85"/>
        <v/>
      </c>
      <c r="B92" t="str">
        <f t="shared" si="86"/>
        <v/>
      </c>
      <c r="C92">
        <f t="shared" ca="1" si="87"/>
        <v>0</v>
      </c>
      <c r="D92" t="str">
        <f t="shared" si="88"/>
        <v/>
      </c>
      <c r="E92">
        <f>IF(B92="",0,LARGE($E$5:E91,1)+1)</f>
        <v>0</v>
      </c>
      <c r="F92" s="44"/>
      <c r="G92" s="45"/>
      <c r="H92" s="7" t="str">
        <f>IF(AND(F92="",G92=""),"",VLOOKUP(学校情報!$B$5&amp;F92&amp;G92,選手データ!$A:$H,4,FALSE))</f>
        <v/>
      </c>
      <c r="I92" s="7" t="str">
        <f>IF(AND(F92="",G92=""),"",VLOOKUP(学校情報!$B$5&amp;F92&amp;G92,選手データ!$A:$H,5,FALSE))</f>
        <v/>
      </c>
      <c r="J92" s="8" t="str">
        <f>IF(AND(F92="",G92=""),"",VLOOKUP(学校情報!$B$5&amp;F92&amp;G92,選手データ!$A:$H,6,FALSE))</f>
        <v/>
      </c>
      <c r="K92" s="32" t="str">
        <f>IF(AND(F92="",G92=""),"",VLOOKUP(学校情報!$B$5&amp;F92&amp;G92,選手データ!$A:$H,8,FALSE))</f>
        <v/>
      </c>
      <c r="L92" s="7" t="str">
        <f>IF(AND(F92="",G92=""),"",VLOOKUP(学校情報!$B$5&amp;F92&amp;G92,選手データ!$A:$I,9,FALSE))</f>
        <v/>
      </c>
      <c r="M92" s="44"/>
      <c r="N92" s="46"/>
      <c r="O92" s="47"/>
      <c r="P92" s="7" t="str">
        <f t="shared" ca="1" si="89"/>
        <v/>
      </c>
      <c r="Q92" s="46"/>
      <c r="R92" s="48"/>
      <c r="S92" s="45"/>
      <c r="T92" s="49"/>
      <c r="U92" s="8" t="str">
        <f t="shared" ca="1" si="90"/>
        <v/>
      </c>
      <c r="V92" s="8" t="str">
        <f t="shared" si="91"/>
        <v/>
      </c>
      <c r="W92" s="4">
        <f t="shared" si="92"/>
        <v>0</v>
      </c>
      <c r="X92" t="b">
        <f ca="1">IF(M92="",FALSE,VLOOKUP(M92,OFFSET(設定!$D$2:$I$25,0,AA92),2,FALSE))</f>
        <v>0</v>
      </c>
      <c r="Y92" t="str">
        <f ca="1">IF(M92="","",VLOOKUP(M92,OFFSET(設定!$D$2:$I$25,0,AA92),3,FALSE))</f>
        <v/>
      </c>
      <c r="Z92" t="b">
        <f ca="1">IF(M92="",FALSE,VLOOKUP(M92,OFFSET(設定!$D$2:$I$25,0,AA92),4,FALSE))</f>
        <v>0</v>
      </c>
      <c r="AA92">
        <f t="shared" si="115"/>
        <v>7</v>
      </c>
      <c r="AB92" s="1" t="str">
        <f ca="1">IF(M92="","",IF(AND(Z92,N92="〇"),IF(VLOOKUP(M92,OFFSET(設定!$D$2:$I$25,0,AA92),5,FALSE)="-","-",LEFT(VLOOKUP(M92,OFFSET(設定!$D$2:$I$25,0,AA92),5,FALSE),INT(LEN(VLOOKUP(M92,OFFSET(設定!$D$2:$I$25,0,AA92),5,FALSE))-1))),IF(VLOOKUP(M92,OFFSET(設定!$D$2:$I$25,0,AA92),5,FALSE)="-","-",INT(VLOOKUP(M92,OFFSET(設定!$D$2:$I$25,0,AA92),5,FALSE)))))</f>
        <v/>
      </c>
      <c r="AC92" s="1" t="str">
        <f ca="1">IF(M92="","",IF(AND(Z92,N92="〇"),IF(VLOOKUP(M92,OFFSET(設定!$D$2:$I$25,0,AA92),6,FALSE)="-","-",LEFT(VLOOKUP(M92,OFFSET(設定!$D$2:$I$25,0,AA92),6,FALSE),INT(LEN(VLOOKUP(M92,OFFSET(設定!$D$2:$I$25,0,AA92),6,FALSE))-1))),IF(VLOOKUP(M92,OFFSET(設定!$D$2:$I$25,0,AA92),6,FALSE)="-","-",INT(VLOOKUP(M92,OFFSET(設定!$D$2:$I$25,0,AA92),6,FALSE)))))</f>
        <v/>
      </c>
      <c r="AD92">
        <f t="shared" si="116"/>
        <v>2</v>
      </c>
      <c r="AE92" t="str">
        <f t="shared" ca="1" si="93"/>
        <v/>
      </c>
      <c r="AF92" t="str">
        <f t="shared" ca="1" si="94"/>
        <v/>
      </c>
      <c r="AG92" t="str">
        <f t="shared" ca="1" si="95"/>
        <v/>
      </c>
      <c r="AH92" t="b">
        <f t="shared" ca="1" si="96"/>
        <v>1</v>
      </c>
      <c r="AI92" t="b">
        <f t="shared" ca="1" si="97"/>
        <v>0</v>
      </c>
      <c r="AJ92" t="b">
        <f t="shared" ca="1" si="98"/>
        <v>0</v>
      </c>
      <c r="AK92" t="b">
        <f t="shared" si="99"/>
        <v>0</v>
      </c>
      <c r="AL92" t="b">
        <f t="shared" si="100"/>
        <v>0</v>
      </c>
      <c r="AM92" t="b">
        <f t="shared" si="101"/>
        <v>0</v>
      </c>
      <c r="AN92" t="b">
        <f t="shared" si="102"/>
        <v>0</v>
      </c>
      <c r="AO92" t="b">
        <f>IF(COUNTIF($D$6:D91,F92&amp;G92&amp;W92)&gt;0,AK92,FALSE)</f>
        <v>0</v>
      </c>
      <c r="AP92" t="b">
        <f t="shared" ca="1" si="117"/>
        <v>0</v>
      </c>
      <c r="AQ92" t="b">
        <f t="shared" si="103"/>
        <v>0</v>
      </c>
      <c r="AR92" t="b">
        <f t="shared" si="104"/>
        <v>0</v>
      </c>
      <c r="AS92" t="b">
        <f t="shared" ca="1" si="105"/>
        <v>0</v>
      </c>
      <c r="AT92" t="b">
        <f t="shared" ca="1" si="106"/>
        <v>0</v>
      </c>
      <c r="AU92" t="b">
        <f ca="1">IF(COUNTIF(設定!$B$6:$B$11,SUMIF($B$6:B91,G92&amp;W92,$C$6:C91)+IF(AI92,10,IF(AJ92,1,0)))=1,FALSE,AK92)</f>
        <v>0</v>
      </c>
      <c r="AV92" t="b">
        <f t="shared" ca="1" si="107"/>
        <v>0</v>
      </c>
      <c r="AW92" t="b">
        <f t="shared" ca="1" si="108"/>
        <v>0</v>
      </c>
      <c r="AX92" t="b">
        <f t="shared" si="109"/>
        <v>0</v>
      </c>
      <c r="AY92" t="b">
        <f t="shared" si="110"/>
        <v>0</v>
      </c>
      <c r="AZ92" t="b">
        <f t="shared" si="111"/>
        <v>0</v>
      </c>
      <c r="BA92" t="b">
        <f>IF(AND(設定!$B$2&lt;=T92,T92&lt;=設定!$B$3),FALSE,AK92)</f>
        <v>0</v>
      </c>
      <c r="BC92">
        <f t="shared" ca="1" si="112"/>
        <v>0</v>
      </c>
      <c r="BD92">
        <f t="shared" si="118"/>
        <v>87</v>
      </c>
      <c r="BE92" t="str">
        <f t="shared" si="113"/>
        <v/>
      </c>
      <c r="BF92">
        <f>IF(BG92&lt;&gt;"",MAX($BF$6:BF91)+1,0)</f>
        <v>0</v>
      </c>
      <c r="BG92" t="str">
        <f>IF(BE92&lt;&gt;"",IF(COUNTIF($BE$6:BE91,BE92)&gt;0,"",BE92),"")</f>
        <v/>
      </c>
      <c r="BH92" t="str">
        <f t="shared" si="114"/>
        <v/>
      </c>
      <c r="BI92">
        <f>IF(BJ92&lt;&gt;"",MAX($BI$6:BI91)+1,0)</f>
        <v>0</v>
      </c>
      <c r="BJ92" t="str">
        <f>IF(BH92&lt;&gt;"",IF(COUNTIF($BE$6:BH91,BH92)&gt;0,"",BH92),"")</f>
        <v/>
      </c>
    </row>
    <row r="93" spans="1:62" ht="16.5" customHeight="1">
      <c r="A93" t="str">
        <f t="shared" si="85"/>
        <v/>
      </c>
      <c r="B93" t="str">
        <f t="shared" si="86"/>
        <v/>
      </c>
      <c r="C93">
        <f t="shared" ca="1" si="87"/>
        <v>0</v>
      </c>
      <c r="D93" t="str">
        <f t="shared" si="88"/>
        <v/>
      </c>
      <c r="E93">
        <f>IF(B93="",0,LARGE($E$5:E92,1)+1)</f>
        <v>0</v>
      </c>
      <c r="F93" s="44"/>
      <c r="G93" s="45"/>
      <c r="H93" s="7" t="str">
        <f>IF(AND(F93="",G93=""),"",VLOOKUP(学校情報!$B$5&amp;F93&amp;G93,選手データ!$A:$H,4,FALSE))</f>
        <v/>
      </c>
      <c r="I93" s="7" t="str">
        <f>IF(AND(F93="",G93=""),"",VLOOKUP(学校情報!$B$5&amp;F93&amp;G93,選手データ!$A:$H,5,FALSE))</f>
        <v/>
      </c>
      <c r="J93" s="8" t="str">
        <f>IF(AND(F93="",G93=""),"",VLOOKUP(学校情報!$B$5&amp;F93&amp;G93,選手データ!$A:$H,6,FALSE))</f>
        <v/>
      </c>
      <c r="K93" s="32" t="str">
        <f>IF(AND(F93="",G93=""),"",VLOOKUP(学校情報!$B$5&amp;F93&amp;G93,選手データ!$A:$H,8,FALSE))</f>
        <v/>
      </c>
      <c r="L93" s="7" t="str">
        <f>IF(AND(F93="",G93=""),"",VLOOKUP(学校情報!$B$5&amp;F93&amp;G93,選手データ!$A:$I,9,FALSE))</f>
        <v/>
      </c>
      <c r="M93" s="44"/>
      <c r="N93" s="46"/>
      <c r="O93" s="47"/>
      <c r="P93" s="7" t="str">
        <f t="shared" ca="1" si="89"/>
        <v/>
      </c>
      <c r="Q93" s="46"/>
      <c r="R93" s="48"/>
      <c r="S93" s="45"/>
      <c r="T93" s="49"/>
      <c r="U93" s="8" t="str">
        <f t="shared" ca="1" si="90"/>
        <v/>
      </c>
      <c r="V93" s="8" t="str">
        <f t="shared" si="91"/>
        <v/>
      </c>
      <c r="W93" s="4">
        <f t="shared" si="92"/>
        <v>0</v>
      </c>
      <c r="X93" t="b">
        <f ca="1">IF(M93="",FALSE,VLOOKUP(M93,OFFSET(設定!$D$2:$I$25,0,AA93),2,FALSE))</f>
        <v>0</v>
      </c>
      <c r="Y93" t="str">
        <f ca="1">IF(M93="","",VLOOKUP(M93,OFFSET(設定!$D$2:$I$25,0,AA93),3,FALSE))</f>
        <v/>
      </c>
      <c r="Z93" t="b">
        <f ca="1">IF(M93="",FALSE,VLOOKUP(M93,OFFSET(設定!$D$2:$I$25,0,AA93),4,FALSE))</f>
        <v>0</v>
      </c>
      <c r="AA93">
        <f t="shared" si="115"/>
        <v>7</v>
      </c>
      <c r="AB93" s="1" t="str">
        <f ca="1">IF(M93="","",IF(AND(Z93,N93="〇"),IF(VLOOKUP(M93,OFFSET(設定!$D$2:$I$25,0,AA93),5,FALSE)="-","-",LEFT(VLOOKUP(M93,OFFSET(設定!$D$2:$I$25,0,AA93),5,FALSE),INT(LEN(VLOOKUP(M93,OFFSET(設定!$D$2:$I$25,0,AA93),5,FALSE))-1))),IF(VLOOKUP(M93,OFFSET(設定!$D$2:$I$25,0,AA93),5,FALSE)="-","-",INT(VLOOKUP(M93,OFFSET(設定!$D$2:$I$25,0,AA93),5,FALSE)))))</f>
        <v/>
      </c>
      <c r="AC93" s="1" t="str">
        <f ca="1">IF(M93="","",IF(AND(Z93,N93="〇"),IF(VLOOKUP(M93,OFFSET(設定!$D$2:$I$25,0,AA93),6,FALSE)="-","-",LEFT(VLOOKUP(M93,OFFSET(設定!$D$2:$I$25,0,AA93),6,FALSE),INT(LEN(VLOOKUP(M93,OFFSET(設定!$D$2:$I$25,0,AA93),6,FALSE))-1))),IF(VLOOKUP(M93,OFFSET(設定!$D$2:$I$25,0,AA93),6,FALSE)="-","-",INT(VLOOKUP(M93,OFFSET(設定!$D$2:$I$25,0,AA93),6,FALSE)))))</f>
        <v/>
      </c>
      <c r="AD93">
        <f t="shared" si="116"/>
        <v>2</v>
      </c>
      <c r="AE93" t="str">
        <f t="shared" ca="1" si="93"/>
        <v/>
      </c>
      <c r="AF93" t="str">
        <f t="shared" ca="1" si="94"/>
        <v/>
      </c>
      <c r="AG93" t="str">
        <f t="shared" ca="1" si="95"/>
        <v/>
      </c>
      <c r="AH93" t="b">
        <f t="shared" ca="1" si="96"/>
        <v>1</v>
      </c>
      <c r="AI93" t="b">
        <f t="shared" ca="1" si="97"/>
        <v>0</v>
      </c>
      <c r="AJ93" t="b">
        <f t="shared" ca="1" si="98"/>
        <v>0</v>
      </c>
      <c r="AK93" t="b">
        <f t="shared" si="99"/>
        <v>0</v>
      </c>
      <c r="AL93" t="b">
        <f t="shared" si="100"/>
        <v>0</v>
      </c>
      <c r="AM93" t="b">
        <f t="shared" si="101"/>
        <v>0</v>
      </c>
      <c r="AN93" t="b">
        <f t="shared" si="102"/>
        <v>0</v>
      </c>
      <c r="AO93" t="b">
        <f>IF(COUNTIF($D$6:D92,F93&amp;G93&amp;W93)&gt;0,AK93,FALSE)</f>
        <v>0</v>
      </c>
      <c r="AP93" t="b">
        <f t="shared" ca="1" si="117"/>
        <v>0</v>
      </c>
      <c r="AQ93" t="b">
        <f t="shared" si="103"/>
        <v>0</v>
      </c>
      <c r="AR93" t="b">
        <f t="shared" si="104"/>
        <v>0</v>
      </c>
      <c r="AS93" t="b">
        <f t="shared" ca="1" si="105"/>
        <v>0</v>
      </c>
      <c r="AT93" t="b">
        <f t="shared" ca="1" si="106"/>
        <v>0</v>
      </c>
      <c r="AU93" t="b">
        <f ca="1">IF(COUNTIF(設定!$B$6:$B$11,SUMIF($B$6:B92,G93&amp;W93,$C$6:C92)+IF(AI93,10,IF(AJ93,1,0)))=1,FALSE,AK93)</f>
        <v>0</v>
      </c>
      <c r="AV93" t="b">
        <f t="shared" ca="1" si="107"/>
        <v>0</v>
      </c>
      <c r="AW93" t="b">
        <f t="shared" ca="1" si="108"/>
        <v>0</v>
      </c>
      <c r="AX93" t="b">
        <f t="shared" si="109"/>
        <v>0</v>
      </c>
      <c r="AY93" t="b">
        <f t="shared" si="110"/>
        <v>0</v>
      </c>
      <c r="AZ93" t="b">
        <f t="shared" si="111"/>
        <v>0</v>
      </c>
      <c r="BA93" t="b">
        <f>IF(AND(設定!$B$2&lt;=T93,T93&lt;=設定!$B$3),FALSE,AK93)</f>
        <v>0</v>
      </c>
      <c r="BC93">
        <f t="shared" ca="1" si="112"/>
        <v>0</v>
      </c>
      <c r="BD93">
        <f t="shared" si="118"/>
        <v>88</v>
      </c>
      <c r="BE93" t="str">
        <f t="shared" si="113"/>
        <v/>
      </c>
      <c r="BF93">
        <f>IF(BG93&lt;&gt;"",MAX($BF$6:BF92)+1,0)</f>
        <v>0</v>
      </c>
      <c r="BG93" t="str">
        <f>IF(BE93&lt;&gt;"",IF(COUNTIF($BE$6:BE92,BE93)&gt;0,"",BE93),"")</f>
        <v/>
      </c>
      <c r="BH93" t="str">
        <f t="shared" si="114"/>
        <v/>
      </c>
      <c r="BI93">
        <f>IF(BJ93&lt;&gt;"",MAX($BI$6:BI92)+1,0)</f>
        <v>0</v>
      </c>
      <c r="BJ93" t="str">
        <f>IF(BH93&lt;&gt;"",IF(COUNTIF($BE$6:BH92,BH93)&gt;0,"",BH93),"")</f>
        <v/>
      </c>
    </row>
    <row r="94" spans="1:62" ht="16.5" customHeight="1">
      <c r="A94" t="str">
        <f t="shared" si="85"/>
        <v/>
      </c>
      <c r="B94" t="str">
        <f t="shared" si="86"/>
        <v/>
      </c>
      <c r="C94">
        <f t="shared" ca="1" si="87"/>
        <v>0</v>
      </c>
      <c r="D94" t="str">
        <f t="shared" si="88"/>
        <v/>
      </c>
      <c r="E94">
        <f>IF(B94="",0,LARGE($E$5:E93,1)+1)</f>
        <v>0</v>
      </c>
      <c r="F94" s="44"/>
      <c r="G94" s="45"/>
      <c r="H94" s="7" t="str">
        <f>IF(AND(F94="",G94=""),"",VLOOKUP(学校情報!$B$5&amp;F94&amp;G94,選手データ!$A:$H,4,FALSE))</f>
        <v/>
      </c>
      <c r="I94" s="7" t="str">
        <f>IF(AND(F94="",G94=""),"",VLOOKUP(学校情報!$B$5&amp;F94&amp;G94,選手データ!$A:$H,5,FALSE))</f>
        <v/>
      </c>
      <c r="J94" s="8" t="str">
        <f>IF(AND(F94="",G94=""),"",VLOOKUP(学校情報!$B$5&amp;F94&amp;G94,選手データ!$A:$H,6,FALSE))</f>
        <v/>
      </c>
      <c r="K94" s="32" t="str">
        <f>IF(AND(F94="",G94=""),"",VLOOKUP(学校情報!$B$5&amp;F94&amp;G94,選手データ!$A:$H,8,FALSE))</f>
        <v/>
      </c>
      <c r="L94" s="7" t="str">
        <f>IF(AND(F94="",G94=""),"",VLOOKUP(学校情報!$B$5&amp;F94&amp;G94,選手データ!$A:$I,9,FALSE))</f>
        <v/>
      </c>
      <c r="M94" s="44"/>
      <c r="N94" s="46"/>
      <c r="O94" s="47"/>
      <c r="P94" s="7" t="str">
        <f t="shared" ca="1" si="89"/>
        <v/>
      </c>
      <c r="Q94" s="46"/>
      <c r="R94" s="48"/>
      <c r="S94" s="45"/>
      <c r="T94" s="49"/>
      <c r="U94" s="8" t="str">
        <f t="shared" ca="1" si="90"/>
        <v/>
      </c>
      <c r="V94" s="8" t="str">
        <f t="shared" si="91"/>
        <v/>
      </c>
      <c r="W94" s="4">
        <f t="shared" si="92"/>
        <v>0</v>
      </c>
      <c r="X94" t="b">
        <f ca="1">IF(M94="",FALSE,VLOOKUP(M94,OFFSET(設定!$D$2:$I$25,0,AA94),2,FALSE))</f>
        <v>0</v>
      </c>
      <c r="Y94" t="str">
        <f ca="1">IF(M94="","",VLOOKUP(M94,OFFSET(設定!$D$2:$I$25,0,AA94),3,FALSE))</f>
        <v/>
      </c>
      <c r="Z94" t="b">
        <f ca="1">IF(M94="",FALSE,VLOOKUP(M94,OFFSET(設定!$D$2:$I$25,0,AA94),4,FALSE))</f>
        <v>0</v>
      </c>
      <c r="AA94">
        <f t="shared" si="115"/>
        <v>7</v>
      </c>
      <c r="AB94" s="1" t="str">
        <f ca="1">IF(M94="","",IF(AND(Z94,N94="〇"),IF(VLOOKUP(M94,OFFSET(設定!$D$2:$I$25,0,AA94),5,FALSE)="-","-",LEFT(VLOOKUP(M94,OFFSET(設定!$D$2:$I$25,0,AA94),5,FALSE),INT(LEN(VLOOKUP(M94,OFFSET(設定!$D$2:$I$25,0,AA94),5,FALSE))-1))),IF(VLOOKUP(M94,OFFSET(設定!$D$2:$I$25,0,AA94),5,FALSE)="-","-",INT(VLOOKUP(M94,OFFSET(設定!$D$2:$I$25,0,AA94),5,FALSE)))))</f>
        <v/>
      </c>
      <c r="AC94" s="1" t="str">
        <f ca="1">IF(M94="","",IF(AND(Z94,N94="〇"),IF(VLOOKUP(M94,OFFSET(設定!$D$2:$I$25,0,AA94),6,FALSE)="-","-",LEFT(VLOOKUP(M94,OFFSET(設定!$D$2:$I$25,0,AA94),6,FALSE),INT(LEN(VLOOKUP(M94,OFFSET(設定!$D$2:$I$25,0,AA94),6,FALSE))-1))),IF(VLOOKUP(M94,OFFSET(設定!$D$2:$I$25,0,AA94),6,FALSE)="-","-",INT(VLOOKUP(M94,OFFSET(設定!$D$2:$I$25,0,AA94),6,FALSE)))))</f>
        <v/>
      </c>
      <c r="AD94">
        <f t="shared" si="116"/>
        <v>2</v>
      </c>
      <c r="AE94" t="str">
        <f t="shared" ca="1" si="93"/>
        <v/>
      </c>
      <c r="AF94" t="str">
        <f t="shared" ca="1" si="94"/>
        <v/>
      </c>
      <c r="AG94" t="str">
        <f t="shared" ca="1" si="95"/>
        <v/>
      </c>
      <c r="AH94" t="b">
        <f t="shared" ca="1" si="96"/>
        <v>1</v>
      </c>
      <c r="AI94" t="b">
        <f t="shared" ca="1" si="97"/>
        <v>0</v>
      </c>
      <c r="AJ94" t="b">
        <f t="shared" ca="1" si="98"/>
        <v>0</v>
      </c>
      <c r="AK94" t="b">
        <f t="shared" si="99"/>
        <v>0</v>
      </c>
      <c r="AL94" t="b">
        <f t="shared" si="100"/>
        <v>0</v>
      </c>
      <c r="AM94" t="b">
        <f t="shared" si="101"/>
        <v>0</v>
      </c>
      <c r="AN94" t="b">
        <f t="shared" si="102"/>
        <v>0</v>
      </c>
      <c r="AO94" t="b">
        <f>IF(COUNTIF($D$6:D93,F94&amp;G94&amp;W94)&gt;0,AK94,FALSE)</f>
        <v>0</v>
      </c>
      <c r="AP94" t="b">
        <f t="shared" ca="1" si="117"/>
        <v>0</v>
      </c>
      <c r="AQ94" t="b">
        <f t="shared" si="103"/>
        <v>0</v>
      </c>
      <c r="AR94" t="b">
        <f t="shared" si="104"/>
        <v>0</v>
      </c>
      <c r="AS94" t="b">
        <f t="shared" ca="1" si="105"/>
        <v>0</v>
      </c>
      <c r="AT94" t="b">
        <f t="shared" ca="1" si="106"/>
        <v>0</v>
      </c>
      <c r="AU94" t="b">
        <f ca="1">IF(COUNTIF(設定!$B$6:$B$11,SUMIF($B$6:B93,G94&amp;W94,$C$6:C93)+IF(AI94,10,IF(AJ94,1,0)))=1,FALSE,AK94)</f>
        <v>0</v>
      </c>
      <c r="AV94" t="b">
        <f t="shared" ca="1" si="107"/>
        <v>0</v>
      </c>
      <c r="AW94" t="b">
        <f t="shared" ca="1" si="108"/>
        <v>0</v>
      </c>
      <c r="AX94" t="b">
        <f t="shared" si="109"/>
        <v>0</v>
      </c>
      <c r="AY94" t="b">
        <f t="shared" si="110"/>
        <v>0</v>
      </c>
      <c r="AZ94" t="b">
        <f t="shared" si="111"/>
        <v>0</v>
      </c>
      <c r="BA94" t="b">
        <f>IF(AND(設定!$B$2&lt;=T94,T94&lt;=設定!$B$3),FALSE,AK94)</f>
        <v>0</v>
      </c>
      <c r="BC94">
        <f t="shared" ca="1" si="112"/>
        <v>0</v>
      </c>
      <c r="BD94">
        <f t="shared" si="118"/>
        <v>89</v>
      </c>
      <c r="BE94" t="str">
        <f t="shared" si="113"/>
        <v/>
      </c>
      <c r="BF94">
        <f>IF(BG94&lt;&gt;"",MAX($BF$6:BF93)+1,0)</f>
        <v>0</v>
      </c>
      <c r="BG94" t="str">
        <f>IF(BE94&lt;&gt;"",IF(COUNTIF($BE$6:BE93,BE94)&gt;0,"",BE94),"")</f>
        <v/>
      </c>
      <c r="BH94" t="str">
        <f t="shared" si="114"/>
        <v/>
      </c>
      <c r="BI94">
        <f>IF(BJ94&lt;&gt;"",MAX($BI$6:BI93)+1,0)</f>
        <v>0</v>
      </c>
      <c r="BJ94" t="str">
        <f>IF(BH94&lt;&gt;"",IF(COUNTIF($BE$6:BH93,BH94)&gt;0,"",BH94),"")</f>
        <v/>
      </c>
    </row>
    <row r="95" spans="1:62" ht="16.5" customHeight="1">
      <c r="A95" t="str">
        <f t="shared" si="85"/>
        <v/>
      </c>
      <c r="B95" t="str">
        <f t="shared" si="86"/>
        <v/>
      </c>
      <c r="C95">
        <f t="shared" ca="1" si="87"/>
        <v>0</v>
      </c>
      <c r="D95" t="str">
        <f t="shared" si="88"/>
        <v/>
      </c>
      <c r="E95">
        <f>IF(B95="",0,LARGE($E$5:E94,1)+1)</f>
        <v>0</v>
      </c>
      <c r="F95" s="44"/>
      <c r="G95" s="45"/>
      <c r="H95" s="7" t="str">
        <f>IF(AND(F95="",G95=""),"",VLOOKUP(学校情報!$B$5&amp;F95&amp;G95,選手データ!$A:$H,4,FALSE))</f>
        <v/>
      </c>
      <c r="I95" s="7" t="str">
        <f>IF(AND(F95="",G95=""),"",VLOOKUP(学校情報!$B$5&amp;F95&amp;G95,選手データ!$A:$H,5,FALSE))</f>
        <v/>
      </c>
      <c r="J95" s="8" t="str">
        <f>IF(AND(F95="",G95=""),"",VLOOKUP(学校情報!$B$5&amp;F95&amp;G95,選手データ!$A:$H,6,FALSE))</f>
        <v/>
      </c>
      <c r="K95" s="32" t="str">
        <f>IF(AND(F95="",G95=""),"",VLOOKUP(学校情報!$B$5&amp;F95&amp;G95,選手データ!$A:$H,8,FALSE))</f>
        <v/>
      </c>
      <c r="L95" s="7" t="str">
        <f>IF(AND(F95="",G95=""),"",VLOOKUP(学校情報!$B$5&amp;F95&amp;G95,選手データ!$A:$I,9,FALSE))</f>
        <v/>
      </c>
      <c r="M95" s="44"/>
      <c r="N95" s="46"/>
      <c r="O95" s="47"/>
      <c r="P95" s="7" t="str">
        <f t="shared" ca="1" si="89"/>
        <v/>
      </c>
      <c r="Q95" s="46"/>
      <c r="R95" s="48"/>
      <c r="S95" s="45"/>
      <c r="T95" s="49"/>
      <c r="U95" s="8" t="str">
        <f t="shared" ca="1" si="90"/>
        <v/>
      </c>
      <c r="V95" s="8" t="str">
        <f t="shared" si="91"/>
        <v/>
      </c>
      <c r="W95" s="4">
        <f t="shared" si="92"/>
        <v>0</v>
      </c>
      <c r="X95" t="b">
        <f ca="1">IF(M95="",FALSE,VLOOKUP(M95,OFFSET(設定!$D$2:$I$25,0,AA95),2,FALSE))</f>
        <v>0</v>
      </c>
      <c r="Y95" t="str">
        <f ca="1">IF(M95="","",VLOOKUP(M95,OFFSET(設定!$D$2:$I$25,0,AA95),3,FALSE))</f>
        <v/>
      </c>
      <c r="Z95" t="b">
        <f ca="1">IF(M95="",FALSE,VLOOKUP(M95,OFFSET(設定!$D$2:$I$25,0,AA95),4,FALSE))</f>
        <v>0</v>
      </c>
      <c r="AA95">
        <f t="shared" si="115"/>
        <v>7</v>
      </c>
      <c r="AB95" s="1" t="str">
        <f ca="1">IF(M95="","",IF(AND(Z95,N95="〇"),IF(VLOOKUP(M95,OFFSET(設定!$D$2:$I$25,0,AA95),5,FALSE)="-","-",LEFT(VLOOKUP(M95,OFFSET(設定!$D$2:$I$25,0,AA95),5,FALSE),INT(LEN(VLOOKUP(M95,OFFSET(設定!$D$2:$I$25,0,AA95),5,FALSE))-1))),IF(VLOOKUP(M95,OFFSET(設定!$D$2:$I$25,0,AA95),5,FALSE)="-","-",INT(VLOOKUP(M95,OFFSET(設定!$D$2:$I$25,0,AA95),5,FALSE)))))</f>
        <v/>
      </c>
      <c r="AC95" s="1" t="str">
        <f ca="1">IF(M95="","",IF(AND(Z95,N95="〇"),IF(VLOOKUP(M95,OFFSET(設定!$D$2:$I$25,0,AA95),6,FALSE)="-","-",LEFT(VLOOKUP(M95,OFFSET(設定!$D$2:$I$25,0,AA95),6,FALSE),INT(LEN(VLOOKUP(M95,OFFSET(設定!$D$2:$I$25,0,AA95),6,FALSE))-1))),IF(VLOOKUP(M95,OFFSET(設定!$D$2:$I$25,0,AA95),6,FALSE)="-","-",INT(VLOOKUP(M95,OFFSET(設定!$D$2:$I$25,0,AA95),6,FALSE)))))</f>
        <v/>
      </c>
      <c r="AD95">
        <f t="shared" si="116"/>
        <v>2</v>
      </c>
      <c r="AE95" t="str">
        <f t="shared" ca="1" si="93"/>
        <v/>
      </c>
      <c r="AF95" t="str">
        <f t="shared" ca="1" si="94"/>
        <v/>
      </c>
      <c r="AG95" t="str">
        <f t="shared" ca="1" si="95"/>
        <v/>
      </c>
      <c r="AH95" t="b">
        <f t="shared" ca="1" si="96"/>
        <v>1</v>
      </c>
      <c r="AI95" t="b">
        <f t="shared" ca="1" si="97"/>
        <v>0</v>
      </c>
      <c r="AJ95" t="b">
        <f t="shared" ca="1" si="98"/>
        <v>0</v>
      </c>
      <c r="AK95" t="b">
        <f t="shared" si="99"/>
        <v>0</v>
      </c>
      <c r="AL95" t="b">
        <f t="shared" si="100"/>
        <v>0</v>
      </c>
      <c r="AM95" t="b">
        <f t="shared" si="101"/>
        <v>0</v>
      </c>
      <c r="AN95" t="b">
        <f t="shared" si="102"/>
        <v>0</v>
      </c>
      <c r="AO95" t="b">
        <f>IF(COUNTIF($D$6:D94,F95&amp;G95&amp;W95)&gt;0,AK95,FALSE)</f>
        <v>0</v>
      </c>
      <c r="AP95" t="b">
        <f t="shared" ca="1" si="117"/>
        <v>0</v>
      </c>
      <c r="AQ95" t="b">
        <f t="shared" si="103"/>
        <v>0</v>
      </c>
      <c r="AR95" t="b">
        <f t="shared" si="104"/>
        <v>0</v>
      </c>
      <c r="AS95" t="b">
        <f t="shared" ca="1" si="105"/>
        <v>0</v>
      </c>
      <c r="AT95" t="b">
        <f t="shared" ca="1" si="106"/>
        <v>0</v>
      </c>
      <c r="AU95" t="b">
        <f ca="1">IF(COUNTIF(設定!$B$6:$B$11,SUMIF($B$6:B94,G95&amp;W95,$C$6:C94)+IF(AI95,10,IF(AJ95,1,0)))=1,FALSE,AK95)</f>
        <v>0</v>
      </c>
      <c r="AV95" t="b">
        <f t="shared" ca="1" si="107"/>
        <v>0</v>
      </c>
      <c r="AW95" t="b">
        <f t="shared" ca="1" si="108"/>
        <v>0</v>
      </c>
      <c r="AX95" t="b">
        <f t="shared" si="109"/>
        <v>0</v>
      </c>
      <c r="AY95" t="b">
        <f t="shared" si="110"/>
        <v>0</v>
      </c>
      <c r="AZ95" t="b">
        <f t="shared" si="111"/>
        <v>0</v>
      </c>
      <c r="BA95" t="b">
        <f>IF(AND(設定!$B$2&lt;=T95,T95&lt;=設定!$B$3),FALSE,AK95)</f>
        <v>0</v>
      </c>
      <c r="BC95">
        <f t="shared" ca="1" si="112"/>
        <v>0</v>
      </c>
      <c r="BD95">
        <f t="shared" si="118"/>
        <v>90</v>
      </c>
      <c r="BE95" t="str">
        <f t="shared" si="113"/>
        <v/>
      </c>
      <c r="BF95">
        <f>IF(BG95&lt;&gt;"",MAX($BF$6:BF94)+1,0)</f>
        <v>0</v>
      </c>
      <c r="BG95" t="str">
        <f>IF(BE95&lt;&gt;"",IF(COUNTIF($BE$6:BE94,BE95)&gt;0,"",BE95),"")</f>
        <v/>
      </c>
      <c r="BH95" t="str">
        <f t="shared" si="114"/>
        <v/>
      </c>
      <c r="BI95">
        <f>IF(BJ95&lt;&gt;"",MAX($BI$6:BI94)+1,0)</f>
        <v>0</v>
      </c>
      <c r="BJ95" t="str">
        <f>IF(BH95&lt;&gt;"",IF(COUNTIF($BE$6:BH94,BH95)&gt;0,"",BH95),"")</f>
        <v/>
      </c>
    </row>
    <row r="96" spans="1:62" ht="16.5" customHeight="1">
      <c r="A96" t="str">
        <f t="shared" si="85"/>
        <v/>
      </c>
      <c r="B96" t="str">
        <f t="shared" si="86"/>
        <v/>
      </c>
      <c r="C96">
        <f t="shared" ca="1" si="87"/>
        <v>0</v>
      </c>
      <c r="D96" t="str">
        <f t="shared" si="88"/>
        <v/>
      </c>
      <c r="E96">
        <f>IF(B96="",0,LARGE($E$5:E95,1)+1)</f>
        <v>0</v>
      </c>
      <c r="F96" s="44"/>
      <c r="G96" s="45"/>
      <c r="H96" s="7" t="str">
        <f>IF(AND(F96="",G96=""),"",VLOOKUP(学校情報!$B$5&amp;F96&amp;G96,選手データ!$A:$H,4,FALSE))</f>
        <v/>
      </c>
      <c r="I96" s="7" t="str">
        <f>IF(AND(F96="",G96=""),"",VLOOKUP(学校情報!$B$5&amp;F96&amp;G96,選手データ!$A:$H,5,FALSE))</f>
        <v/>
      </c>
      <c r="J96" s="8" t="str">
        <f>IF(AND(F96="",G96=""),"",VLOOKUP(学校情報!$B$5&amp;F96&amp;G96,選手データ!$A:$H,6,FALSE))</f>
        <v/>
      </c>
      <c r="K96" s="32" t="str">
        <f>IF(AND(F96="",G96=""),"",VLOOKUP(学校情報!$B$5&amp;F96&amp;G96,選手データ!$A:$H,8,FALSE))</f>
        <v/>
      </c>
      <c r="L96" s="7" t="str">
        <f>IF(AND(F96="",G96=""),"",VLOOKUP(学校情報!$B$5&amp;F96&amp;G96,選手データ!$A:$I,9,FALSE))</f>
        <v/>
      </c>
      <c r="M96" s="44"/>
      <c r="N96" s="46"/>
      <c r="O96" s="47"/>
      <c r="P96" s="7" t="str">
        <f t="shared" ca="1" si="89"/>
        <v/>
      </c>
      <c r="Q96" s="46"/>
      <c r="R96" s="48"/>
      <c r="S96" s="45"/>
      <c r="T96" s="49"/>
      <c r="U96" s="8" t="str">
        <f t="shared" ca="1" si="90"/>
        <v/>
      </c>
      <c r="V96" s="8" t="str">
        <f t="shared" si="91"/>
        <v/>
      </c>
      <c r="W96" s="4">
        <f t="shared" si="92"/>
        <v>0</v>
      </c>
      <c r="X96" t="b">
        <f ca="1">IF(M96="",FALSE,VLOOKUP(M96,OFFSET(設定!$D$2:$I$25,0,AA96),2,FALSE))</f>
        <v>0</v>
      </c>
      <c r="Y96" t="str">
        <f ca="1">IF(M96="","",VLOOKUP(M96,OFFSET(設定!$D$2:$I$25,0,AA96),3,FALSE))</f>
        <v/>
      </c>
      <c r="Z96" t="b">
        <f ca="1">IF(M96="",FALSE,VLOOKUP(M96,OFFSET(設定!$D$2:$I$25,0,AA96),4,FALSE))</f>
        <v>0</v>
      </c>
      <c r="AA96">
        <f t="shared" si="115"/>
        <v>7</v>
      </c>
      <c r="AB96" s="1" t="str">
        <f ca="1">IF(M96="","",IF(AND(Z96,N96="〇"),IF(VLOOKUP(M96,OFFSET(設定!$D$2:$I$25,0,AA96),5,FALSE)="-","-",LEFT(VLOOKUP(M96,OFFSET(設定!$D$2:$I$25,0,AA96),5,FALSE),INT(LEN(VLOOKUP(M96,OFFSET(設定!$D$2:$I$25,0,AA96),5,FALSE))-1))),IF(VLOOKUP(M96,OFFSET(設定!$D$2:$I$25,0,AA96),5,FALSE)="-","-",INT(VLOOKUP(M96,OFFSET(設定!$D$2:$I$25,0,AA96),5,FALSE)))))</f>
        <v/>
      </c>
      <c r="AC96" s="1" t="str">
        <f ca="1">IF(M96="","",IF(AND(Z96,N96="〇"),IF(VLOOKUP(M96,OFFSET(設定!$D$2:$I$25,0,AA96),6,FALSE)="-","-",LEFT(VLOOKUP(M96,OFFSET(設定!$D$2:$I$25,0,AA96),6,FALSE),INT(LEN(VLOOKUP(M96,OFFSET(設定!$D$2:$I$25,0,AA96),6,FALSE))-1))),IF(VLOOKUP(M96,OFFSET(設定!$D$2:$I$25,0,AA96),6,FALSE)="-","-",INT(VLOOKUP(M96,OFFSET(設定!$D$2:$I$25,0,AA96),6,FALSE)))))</f>
        <v/>
      </c>
      <c r="AD96">
        <f t="shared" si="116"/>
        <v>2</v>
      </c>
      <c r="AE96" t="str">
        <f t="shared" ca="1" si="93"/>
        <v/>
      </c>
      <c r="AF96" t="str">
        <f t="shared" ca="1" si="94"/>
        <v/>
      </c>
      <c r="AG96" t="str">
        <f t="shared" ca="1" si="95"/>
        <v/>
      </c>
      <c r="AH96" t="b">
        <f t="shared" ca="1" si="96"/>
        <v>1</v>
      </c>
      <c r="AI96" t="b">
        <f t="shared" ca="1" si="97"/>
        <v>0</v>
      </c>
      <c r="AJ96" t="b">
        <f t="shared" ca="1" si="98"/>
        <v>0</v>
      </c>
      <c r="AK96" t="b">
        <f t="shared" si="99"/>
        <v>0</v>
      </c>
      <c r="AL96" t="b">
        <f t="shared" si="100"/>
        <v>0</v>
      </c>
      <c r="AM96" t="b">
        <f t="shared" si="101"/>
        <v>0</v>
      </c>
      <c r="AN96" t="b">
        <f t="shared" si="102"/>
        <v>0</v>
      </c>
      <c r="AO96" t="b">
        <f>IF(COUNTIF($D$6:D95,F96&amp;G96&amp;W96)&gt;0,AK96,FALSE)</f>
        <v>0</v>
      </c>
      <c r="AP96" t="b">
        <f t="shared" ca="1" si="117"/>
        <v>0</v>
      </c>
      <c r="AQ96" t="b">
        <f t="shared" si="103"/>
        <v>0</v>
      </c>
      <c r="AR96" t="b">
        <f t="shared" si="104"/>
        <v>0</v>
      </c>
      <c r="AS96" t="b">
        <f t="shared" ca="1" si="105"/>
        <v>0</v>
      </c>
      <c r="AT96" t="b">
        <f t="shared" ca="1" si="106"/>
        <v>0</v>
      </c>
      <c r="AU96" t="b">
        <f ca="1">IF(COUNTIF(設定!$B$6:$B$11,SUMIF($B$6:B95,G96&amp;W96,$C$6:C95)+IF(AI96,10,IF(AJ96,1,0)))=1,FALSE,AK96)</f>
        <v>0</v>
      </c>
      <c r="AV96" t="b">
        <f t="shared" ca="1" si="107"/>
        <v>0</v>
      </c>
      <c r="AW96" t="b">
        <f t="shared" ca="1" si="108"/>
        <v>0</v>
      </c>
      <c r="AX96" t="b">
        <f t="shared" si="109"/>
        <v>0</v>
      </c>
      <c r="AY96" t="b">
        <f t="shared" si="110"/>
        <v>0</v>
      </c>
      <c r="AZ96" t="b">
        <f t="shared" si="111"/>
        <v>0</v>
      </c>
      <c r="BA96" t="b">
        <f>IF(AND(設定!$B$2&lt;=T96,T96&lt;=設定!$B$3),FALSE,AK96)</f>
        <v>0</v>
      </c>
      <c r="BC96">
        <f t="shared" ca="1" si="112"/>
        <v>0</v>
      </c>
      <c r="BD96">
        <f t="shared" si="118"/>
        <v>91</v>
      </c>
      <c r="BE96" t="str">
        <f t="shared" si="113"/>
        <v/>
      </c>
      <c r="BF96">
        <f>IF(BG96&lt;&gt;"",MAX($BF$6:BF95)+1,0)</f>
        <v>0</v>
      </c>
      <c r="BG96" t="str">
        <f>IF(BE96&lt;&gt;"",IF(COUNTIF($BE$6:BE95,BE96)&gt;0,"",BE96),"")</f>
        <v/>
      </c>
      <c r="BH96" t="str">
        <f t="shared" si="114"/>
        <v/>
      </c>
      <c r="BI96">
        <f>IF(BJ96&lt;&gt;"",MAX($BI$6:BI95)+1,0)</f>
        <v>0</v>
      </c>
      <c r="BJ96" t="str">
        <f>IF(BH96&lt;&gt;"",IF(COUNTIF($BE$6:BH95,BH96)&gt;0,"",BH96),"")</f>
        <v/>
      </c>
    </row>
    <row r="97" spans="1:62" ht="16.5" customHeight="1">
      <c r="A97" t="str">
        <f t="shared" si="85"/>
        <v/>
      </c>
      <c r="B97" t="str">
        <f t="shared" si="86"/>
        <v/>
      </c>
      <c r="C97">
        <f t="shared" ca="1" si="87"/>
        <v>0</v>
      </c>
      <c r="D97" t="str">
        <f t="shared" si="88"/>
        <v/>
      </c>
      <c r="E97">
        <f>IF(B97="",0,LARGE($E$5:E96,1)+1)</f>
        <v>0</v>
      </c>
      <c r="F97" s="44"/>
      <c r="G97" s="45"/>
      <c r="H97" s="7" t="str">
        <f>IF(AND(F97="",G97=""),"",VLOOKUP(学校情報!$B$5&amp;F97&amp;G97,選手データ!$A:$H,4,FALSE))</f>
        <v/>
      </c>
      <c r="I97" s="7" t="str">
        <f>IF(AND(F97="",G97=""),"",VLOOKUP(学校情報!$B$5&amp;F97&amp;G97,選手データ!$A:$H,5,FALSE))</f>
        <v/>
      </c>
      <c r="J97" s="8" t="str">
        <f>IF(AND(F97="",G97=""),"",VLOOKUP(学校情報!$B$5&amp;F97&amp;G97,選手データ!$A:$H,6,FALSE))</f>
        <v/>
      </c>
      <c r="K97" s="32" t="str">
        <f>IF(AND(F97="",G97=""),"",VLOOKUP(学校情報!$B$5&amp;F97&amp;G97,選手データ!$A:$H,8,FALSE))</f>
        <v/>
      </c>
      <c r="L97" s="7" t="str">
        <f>IF(AND(F97="",G97=""),"",VLOOKUP(学校情報!$B$5&amp;F97&amp;G97,選手データ!$A:$I,9,FALSE))</f>
        <v/>
      </c>
      <c r="M97" s="44"/>
      <c r="N97" s="46"/>
      <c r="O97" s="47"/>
      <c r="P97" s="7" t="str">
        <f t="shared" ca="1" si="89"/>
        <v/>
      </c>
      <c r="Q97" s="46"/>
      <c r="R97" s="48"/>
      <c r="S97" s="45"/>
      <c r="T97" s="49"/>
      <c r="U97" s="8" t="str">
        <f t="shared" ca="1" si="90"/>
        <v/>
      </c>
      <c r="V97" s="8" t="str">
        <f t="shared" si="91"/>
        <v/>
      </c>
      <c r="W97" s="4">
        <f t="shared" si="92"/>
        <v>0</v>
      </c>
      <c r="X97" t="b">
        <f ca="1">IF(M97="",FALSE,VLOOKUP(M97,OFFSET(設定!$D$2:$I$25,0,AA97),2,FALSE))</f>
        <v>0</v>
      </c>
      <c r="Y97" t="str">
        <f ca="1">IF(M97="","",VLOOKUP(M97,OFFSET(設定!$D$2:$I$25,0,AA97),3,FALSE))</f>
        <v/>
      </c>
      <c r="Z97" t="b">
        <f ca="1">IF(M97="",FALSE,VLOOKUP(M97,OFFSET(設定!$D$2:$I$25,0,AA97),4,FALSE))</f>
        <v>0</v>
      </c>
      <c r="AA97">
        <f t="shared" si="115"/>
        <v>7</v>
      </c>
      <c r="AB97" s="1" t="str">
        <f ca="1">IF(M97="","",IF(AND(Z97,N97="〇"),IF(VLOOKUP(M97,OFFSET(設定!$D$2:$I$25,0,AA97),5,FALSE)="-","-",LEFT(VLOOKUP(M97,OFFSET(設定!$D$2:$I$25,0,AA97),5,FALSE),INT(LEN(VLOOKUP(M97,OFFSET(設定!$D$2:$I$25,0,AA97),5,FALSE))-1))),IF(VLOOKUP(M97,OFFSET(設定!$D$2:$I$25,0,AA97),5,FALSE)="-","-",INT(VLOOKUP(M97,OFFSET(設定!$D$2:$I$25,0,AA97),5,FALSE)))))</f>
        <v/>
      </c>
      <c r="AC97" s="1" t="str">
        <f ca="1">IF(M97="","",IF(AND(Z97,N97="〇"),IF(VLOOKUP(M97,OFFSET(設定!$D$2:$I$25,0,AA97),6,FALSE)="-","-",LEFT(VLOOKUP(M97,OFFSET(設定!$D$2:$I$25,0,AA97),6,FALSE),INT(LEN(VLOOKUP(M97,OFFSET(設定!$D$2:$I$25,0,AA97),6,FALSE))-1))),IF(VLOOKUP(M97,OFFSET(設定!$D$2:$I$25,0,AA97),6,FALSE)="-","-",INT(VLOOKUP(M97,OFFSET(設定!$D$2:$I$25,0,AA97),6,FALSE)))))</f>
        <v/>
      </c>
      <c r="AD97">
        <f t="shared" si="116"/>
        <v>2</v>
      </c>
      <c r="AE97" t="str">
        <f t="shared" ca="1" si="93"/>
        <v/>
      </c>
      <c r="AF97" t="str">
        <f t="shared" ca="1" si="94"/>
        <v/>
      </c>
      <c r="AG97" t="str">
        <f t="shared" ca="1" si="95"/>
        <v/>
      </c>
      <c r="AH97" t="b">
        <f t="shared" ca="1" si="96"/>
        <v>1</v>
      </c>
      <c r="AI97" t="b">
        <f t="shared" ca="1" si="97"/>
        <v>0</v>
      </c>
      <c r="AJ97" t="b">
        <f t="shared" ca="1" si="98"/>
        <v>0</v>
      </c>
      <c r="AK97" t="b">
        <f t="shared" si="99"/>
        <v>0</v>
      </c>
      <c r="AL97" t="b">
        <f t="shared" si="100"/>
        <v>0</v>
      </c>
      <c r="AM97" t="b">
        <f t="shared" si="101"/>
        <v>0</v>
      </c>
      <c r="AN97" t="b">
        <f t="shared" si="102"/>
        <v>0</v>
      </c>
      <c r="AO97" t="b">
        <f>IF(COUNTIF($D$6:D96,F97&amp;G97&amp;W97)&gt;0,AK97,FALSE)</f>
        <v>0</v>
      </c>
      <c r="AP97" t="b">
        <f t="shared" ca="1" si="117"/>
        <v>0</v>
      </c>
      <c r="AQ97" t="b">
        <f t="shared" si="103"/>
        <v>0</v>
      </c>
      <c r="AR97" t="b">
        <f t="shared" si="104"/>
        <v>0</v>
      </c>
      <c r="AS97" t="b">
        <f t="shared" ca="1" si="105"/>
        <v>0</v>
      </c>
      <c r="AT97" t="b">
        <f t="shared" ca="1" si="106"/>
        <v>0</v>
      </c>
      <c r="AU97" t="b">
        <f ca="1">IF(COUNTIF(設定!$B$6:$B$11,SUMIF($B$6:B96,G97&amp;W97,$C$6:C96)+IF(AI97,10,IF(AJ97,1,0)))=1,FALSE,AK97)</f>
        <v>0</v>
      </c>
      <c r="AV97" t="b">
        <f t="shared" ca="1" si="107"/>
        <v>0</v>
      </c>
      <c r="AW97" t="b">
        <f t="shared" ca="1" si="108"/>
        <v>0</v>
      </c>
      <c r="AX97" t="b">
        <f t="shared" si="109"/>
        <v>0</v>
      </c>
      <c r="AY97" t="b">
        <f t="shared" si="110"/>
        <v>0</v>
      </c>
      <c r="AZ97" t="b">
        <f t="shared" si="111"/>
        <v>0</v>
      </c>
      <c r="BA97" t="b">
        <f>IF(AND(設定!$B$2&lt;=T97,T97&lt;=設定!$B$3),FALSE,AK97)</f>
        <v>0</v>
      </c>
      <c r="BC97">
        <f t="shared" ca="1" si="112"/>
        <v>0</v>
      </c>
      <c r="BD97">
        <f t="shared" si="118"/>
        <v>92</v>
      </c>
      <c r="BE97" t="str">
        <f t="shared" si="113"/>
        <v/>
      </c>
      <c r="BF97">
        <f>IF(BG97&lt;&gt;"",MAX($BF$6:BF96)+1,0)</f>
        <v>0</v>
      </c>
      <c r="BG97" t="str">
        <f>IF(BE97&lt;&gt;"",IF(COUNTIF($BE$6:BE96,BE97)&gt;0,"",BE97),"")</f>
        <v/>
      </c>
      <c r="BH97" t="str">
        <f t="shared" si="114"/>
        <v/>
      </c>
      <c r="BI97">
        <f>IF(BJ97&lt;&gt;"",MAX($BI$6:BI96)+1,0)</f>
        <v>0</v>
      </c>
      <c r="BJ97" t="str">
        <f>IF(BH97&lt;&gt;"",IF(COUNTIF($BE$6:BH96,BH97)&gt;0,"",BH97),"")</f>
        <v/>
      </c>
    </row>
    <row r="98" spans="1:62" ht="16.5" customHeight="1">
      <c r="A98" t="str">
        <f t="shared" si="85"/>
        <v/>
      </c>
      <c r="B98" t="str">
        <f t="shared" si="86"/>
        <v/>
      </c>
      <c r="C98">
        <f t="shared" ca="1" si="87"/>
        <v>0</v>
      </c>
      <c r="D98" t="str">
        <f t="shared" si="88"/>
        <v/>
      </c>
      <c r="E98">
        <f>IF(B98="",0,LARGE($E$5:E97,1)+1)</f>
        <v>0</v>
      </c>
      <c r="F98" s="44"/>
      <c r="G98" s="45"/>
      <c r="H98" s="7" t="str">
        <f>IF(AND(F98="",G98=""),"",VLOOKUP(学校情報!$B$5&amp;F98&amp;G98,選手データ!$A:$H,4,FALSE))</f>
        <v/>
      </c>
      <c r="I98" s="7" t="str">
        <f>IF(AND(F98="",G98=""),"",VLOOKUP(学校情報!$B$5&amp;F98&amp;G98,選手データ!$A:$H,5,FALSE))</f>
        <v/>
      </c>
      <c r="J98" s="8" t="str">
        <f>IF(AND(F98="",G98=""),"",VLOOKUP(学校情報!$B$5&amp;F98&amp;G98,選手データ!$A:$H,6,FALSE))</f>
        <v/>
      </c>
      <c r="K98" s="32" t="str">
        <f>IF(AND(F98="",G98=""),"",VLOOKUP(学校情報!$B$5&amp;F98&amp;G98,選手データ!$A:$H,8,FALSE))</f>
        <v/>
      </c>
      <c r="L98" s="7" t="str">
        <f>IF(AND(F98="",G98=""),"",VLOOKUP(学校情報!$B$5&amp;F98&amp;G98,選手データ!$A:$I,9,FALSE))</f>
        <v/>
      </c>
      <c r="M98" s="44"/>
      <c r="N98" s="46"/>
      <c r="O98" s="47"/>
      <c r="P98" s="7" t="str">
        <f t="shared" ca="1" si="89"/>
        <v/>
      </c>
      <c r="Q98" s="46"/>
      <c r="R98" s="48"/>
      <c r="S98" s="45"/>
      <c r="T98" s="49"/>
      <c r="U98" s="8" t="str">
        <f t="shared" ca="1" si="90"/>
        <v/>
      </c>
      <c r="V98" s="8" t="str">
        <f t="shared" si="91"/>
        <v/>
      </c>
      <c r="W98" s="4">
        <f t="shared" si="92"/>
        <v>0</v>
      </c>
      <c r="X98" t="b">
        <f ca="1">IF(M98="",FALSE,VLOOKUP(M98,OFFSET(設定!$D$2:$I$25,0,AA98),2,FALSE))</f>
        <v>0</v>
      </c>
      <c r="Y98" t="str">
        <f ca="1">IF(M98="","",VLOOKUP(M98,OFFSET(設定!$D$2:$I$25,0,AA98),3,FALSE))</f>
        <v/>
      </c>
      <c r="Z98" t="b">
        <f ca="1">IF(M98="",FALSE,VLOOKUP(M98,OFFSET(設定!$D$2:$I$25,0,AA98),4,FALSE))</f>
        <v>0</v>
      </c>
      <c r="AA98">
        <f t="shared" si="115"/>
        <v>7</v>
      </c>
      <c r="AB98" s="1" t="str">
        <f ca="1">IF(M98="","",IF(AND(Z98,N98="〇"),IF(VLOOKUP(M98,OFFSET(設定!$D$2:$I$25,0,AA98),5,FALSE)="-","-",LEFT(VLOOKUP(M98,OFFSET(設定!$D$2:$I$25,0,AA98),5,FALSE),INT(LEN(VLOOKUP(M98,OFFSET(設定!$D$2:$I$25,0,AA98),5,FALSE))-1))),IF(VLOOKUP(M98,OFFSET(設定!$D$2:$I$25,0,AA98),5,FALSE)="-","-",INT(VLOOKUP(M98,OFFSET(設定!$D$2:$I$25,0,AA98),5,FALSE)))))</f>
        <v/>
      </c>
      <c r="AC98" s="1" t="str">
        <f ca="1">IF(M98="","",IF(AND(Z98,N98="〇"),IF(VLOOKUP(M98,OFFSET(設定!$D$2:$I$25,0,AA98),6,FALSE)="-","-",LEFT(VLOOKUP(M98,OFFSET(設定!$D$2:$I$25,0,AA98),6,FALSE),INT(LEN(VLOOKUP(M98,OFFSET(設定!$D$2:$I$25,0,AA98),6,FALSE))-1))),IF(VLOOKUP(M98,OFFSET(設定!$D$2:$I$25,0,AA98),6,FALSE)="-","-",INT(VLOOKUP(M98,OFFSET(設定!$D$2:$I$25,0,AA98),6,FALSE)))))</f>
        <v/>
      </c>
      <c r="AD98">
        <f t="shared" si="116"/>
        <v>2</v>
      </c>
      <c r="AE98" t="str">
        <f t="shared" ca="1" si="93"/>
        <v/>
      </c>
      <c r="AF98" t="str">
        <f t="shared" ca="1" si="94"/>
        <v/>
      </c>
      <c r="AG98" t="str">
        <f t="shared" ca="1" si="95"/>
        <v/>
      </c>
      <c r="AH98" t="b">
        <f t="shared" ca="1" si="96"/>
        <v>1</v>
      </c>
      <c r="AI98" t="b">
        <f t="shared" ca="1" si="97"/>
        <v>0</v>
      </c>
      <c r="AJ98" t="b">
        <f t="shared" ca="1" si="98"/>
        <v>0</v>
      </c>
      <c r="AK98" t="b">
        <f t="shared" si="99"/>
        <v>0</v>
      </c>
      <c r="AL98" t="b">
        <f t="shared" si="100"/>
        <v>0</v>
      </c>
      <c r="AM98" t="b">
        <f t="shared" si="101"/>
        <v>0</v>
      </c>
      <c r="AN98" t="b">
        <f t="shared" si="102"/>
        <v>0</v>
      </c>
      <c r="AO98" t="b">
        <f>IF(COUNTIF($D$6:D97,F98&amp;G98&amp;W98)&gt;0,AK98,FALSE)</f>
        <v>0</v>
      </c>
      <c r="AP98" t="b">
        <f t="shared" ca="1" si="117"/>
        <v>0</v>
      </c>
      <c r="AQ98" t="b">
        <f t="shared" si="103"/>
        <v>0</v>
      </c>
      <c r="AR98" t="b">
        <f t="shared" si="104"/>
        <v>0</v>
      </c>
      <c r="AS98" t="b">
        <f t="shared" ca="1" si="105"/>
        <v>0</v>
      </c>
      <c r="AT98" t="b">
        <f t="shared" ca="1" si="106"/>
        <v>0</v>
      </c>
      <c r="AU98" t="b">
        <f ca="1">IF(COUNTIF(設定!$B$6:$B$11,SUMIF($B$6:B97,G98&amp;W98,$C$6:C97)+IF(AI98,10,IF(AJ98,1,0)))=1,FALSE,AK98)</f>
        <v>0</v>
      </c>
      <c r="AV98" t="b">
        <f t="shared" ca="1" si="107"/>
        <v>0</v>
      </c>
      <c r="AW98" t="b">
        <f t="shared" ca="1" si="108"/>
        <v>0</v>
      </c>
      <c r="AX98" t="b">
        <f t="shared" si="109"/>
        <v>0</v>
      </c>
      <c r="AY98" t="b">
        <f t="shared" si="110"/>
        <v>0</v>
      </c>
      <c r="AZ98" t="b">
        <f t="shared" si="111"/>
        <v>0</v>
      </c>
      <c r="BA98" t="b">
        <f>IF(AND(設定!$B$2&lt;=T98,T98&lt;=設定!$B$3),FALSE,AK98)</f>
        <v>0</v>
      </c>
      <c r="BC98">
        <f t="shared" ca="1" si="112"/>
        <v>0</v>
      </c>
      <c r="BD98">
        <f t="shared" si="118"/>
        <v>93</v>
      </c>
      <c r="BE98" t="str">
        <f t="shared" si="113"/>
        <v/>
      </c>
      <c r="BF98">
        <f>IF(BG98&lt;&gt;"",MAX($BF$6:BF97)+1,0)</f>
        <v>0</v>
      </c>
      <c r="BG98" t="str">
        <f>IF(BE98&lt;&gt;"",IF(COUNTIF($BE$6:BE97,BE98)&gt;0,"",BE98),"")</f>
        <v/>
      </c>
      <c r="BH98" t="str">
        <f t="shared" si="114"/>
        <v/>
      </c>
      <c r="BI98">
        <f>IF(BJ98&lt;&gt;"",MAX($BI$6:BI97)+1,0)</f>
        <v>0</v>
      </c>
      <c r="BJ98" t="str">
        <f>IF(BH98&lt;&gt;"",IF(COUNTIF($BE$6:BH97,BH98)&gt;0,"",BH98),"")</f>
        <v/>
      </c>
    </row>
    <row r="99" spans="1:62" ht="16.5" customHeight="1">
      <c r="A99" t="str">
        <f t="shared" si="85"/>
        <v/>
      </c>
      <c r="B99" t="str">
        <f t="shared" si="86"/>
        <v/>
      </c>
      <c r="C99">
        <f t="shared" ca="1" si="87"/>
        <v>0</v>
      </c>
      <c r="D99" t="str">
        <f t="shared" si="88"/>
        <v/>
      </c>
      <c r="E99">
        <f>IF(B99="",0,LARGE($E$5:E98,1)+1)</f>
        <v>0</v>
      </c>
      <c r="F99" s="44"/>
      <c r="G99" s="45"/>
      <c r="H99" s="7" t="str">
        <f>IF(AND(F99="",G99=""),"",VLOOKUP(学校情報!$B$5&amp;F99&amp;G99,選手データ!$A:$H,4,FALSE))</f>
        <v/>
      </c>
      <c r="I99" s="7" t="str">
        <f>IF(AND(F99="",G99=""),"",VLOOKUP(学校情報!$B$5&amp;F99&amp;G99,選手データ!$A:$H,5,FALSE))</f>
        <v/>
      </c>
      <c r="J99" s="8" t="str">
        <f>IF(AND(F99="",G99=""),"",VLOOKUP(学校情報!$B$5&amp;F99&amp;G99,選手データ!$A:$H,6,FALSE))</f>
        <v/>
      </c>
      <c r="K99" s="32" t="str">
        <f>IF(AND(F99="",G99=""),"",VLOOKUP(学校情報!$B$5&amp;F99&amp;G99,選手データ!$A:$H,8,FALSE))</f>
        <v/>
      </c>
      <c r="L99" s="7" t="str">
        <f>IF(AND(F99="",G99=""),"",VLOOKUP(学校情報!$B$5&amp;F99&amp;G99,選手データ!$A:$I,9,FALSE))</f>
        <v/>
      </c>
      <c r="M99" s="44"/>
      <c r="N99" s="46"/>
      <c r="O99" s="47"/>
      <c r="P99" s="7" t="str">
        <f t="shared" ca="1" si="89"/>
        <v/>
      </c>
      <c r="Q99" s="46"/>
      <c r="R99" s="48"/>
      <c r="S99" s="45"/>
      <c r="T99" s="49"/>
      <c r="U99" s="8" t="str">
        <f t="shared" ca="1" si="90"/>
        <v/>
      </c>
      <c r="V99" s="8" t="str">
        <f t="shared" si="91"/>
        <v/>
      </c>
      <c r="W99" s="4">
        <f t="shared" si="92"/>
        <v>0</v>
      </c>
      <c r="X99" t="b">
        <f ca="1">IF(M99="",FALSE,VLOOKUP(M99,OFFSET(設定!$D$2:$I$25,0,AA99),2,FALSE))</f>
        <v>0</v>
      </c>
      <c r="Y99" t="str">
        <f ca="1">IF(M99="","",VLOOKUP(M99,OFFSET(設定!$D$2:$I$25,0,AA99),3,FALSE))</f>
        <v/>
      </c>
      <c r="Z99" t="b">
        <f ca="1">IF(M99="",FALSE,VLOOKUP(M99,OFFSET(設定!$D$2:$I$25,0,AA99),4,FALSE))</f>
        <v>0</v>
      </c>
      <c r="AA99">
        <f t="shared" si="115"/>
        <v>7</v>
      </c>
      <c r="AB99" s="1" t="str">
        <f ca="1">IF(M99="","",IF(AND(Z99,N99="〇"),IF(VLOOKUP(M99,OFFSET(設定!$D$2:$I$25,0,AA99),5,FALSE)="-","-",LEFT(VLOOKUP(M99,OFFSET(設定!$D$2:$I$25,0,AA99),5,FALSE),INT(LEN(VLOOKUP(M99,OFFSET(設定!$D$2:$I$25,0,AA99),5,FALSE))-1))),IF(VLOOKUP(M99,OFFSET(設定!$D$2:$I$25,0,AA99),5,FALSE)="-","-",INT(VLOOKUP(M99,OFFSET(設定!$D$2:$I$25,0,AA99),5,FALSE)))))</f>
        <v/>
      </c>
      <c r="AC99" s="1" t="str">
        <f ca="1">IF(M99="","",IF(AND(Z99,N99="〇"),IF(VLOOKUP(M99,OFFSET(設定!$D$2:$I$25,0,AA99),6,FALSE)="-","-",LEFT(VLOOKUP(M99,OFFSET(設定!$D$2:$I$25,0,AA99),6,FALSE),INT(LEN(VLOOKUP(M99,OFFSET(設定!$D$2:$I$25,0,AA99),6,FALSE))-1))),IF(VLOOKUP(M99,OFFSET(設定!$D$2:$I$25,0,AA99),6,FALSE)="-","-",INT(VLOOKUP(M99,OFFSET(設定!$D$2:$I$25,0,AA99),6,FALSE)))))</f>
        <v/>
      </c>
      <c r="AD99">
        <f t="shared" si="116"/>
        <v>2</v>
      </c>
      <c r="AE99" t="str">
        <f t="shared" ca="1" si="93"/>
        <v/>
      </c>
      <c r="AF99" t="str">
        <f t="shared" ca="1" si="94"/>
        <v/>
      </c>
      <c r="AG99" t="str">
        <f t="shared" ca="1" si="95"/>
        <v/>
      </c>
      <c r="AH99" t="b">
        <f t="shared" ca="1" si="96"/>
        <v>1</v>
      </c>
      <c r="AI99" t="b">
        <f t="shared" ca="1" si="97"/>
        <v>0</v>
      </c>
      <c r="AJ99" t="b">
        <f t="shared" ca="1" si="98"/>
        <v>0</v>
      </c>
      <c r="AK99" t="b">
        <f t="shared" si="99"/>
        <v>0</v>
      </c>
      <c r="AL99" t="b">
        <f t="shared" si="100"/>
        <v>0</v>
      </c>
      <c r="AM99" t="b">
        <f t="shared" si="101"/>
        <v>0</v>
      </c>
      <c r="AN99" t="b">
        <f t="shared" si="102"/>
        <v>0</v>
      </c>
      <c r="AO99" t="b">
        <f>IF(COUNTIF($D$6:D98,F99&amp;G99&amp;W99)&gt;0,AK99,FALSE)</f>
        <v>0</v>
      </c>
      <c r="AP99" t="b">
        <f t="shared" ca="1" si="117"/>
        <v>0</v>
      </c>
      <c r="AQ99" t="b">
        <f t="shared" si="103"/>
        <v>0</v>
      </c>
      <c r="AR99" t="b">
        <f t="shared" si="104"/>
        <v>0</v>
      </c>
      <c r="AS99" t="b">
        <f t="shared" ca="1" si="105"/>
        <v>0</v>
      </c>
      <c r="AT99" t="b">
        <f t="shared" ca="1" si="106"/>
        <v>0</v>
      </c>
      <c r="AU99" t="b">
        <f ca="1">IF(COUNTIF(設定!$B$6:$B$11,SUMIF($B$6:B98,G99&amp;W99,$C$6:C98)+IF(AI99,10,IF(AJ99,1,0)))=1,FALSE,AK99)</f>
        <v>0</v>
      </c>
      <c r="AV99" t="b">
        <f t="shared" ca="1" si="107"/>
        <v>0</v>
      </c>
      <c r="AW99" t="b">
        <f t="shared" ca="1" si="108"/>
        <v>0</v>
      </c>
      <c r="AX99" t="b">
        <f t="shared" si="109"/>
        <v>0</v>
      </c>
      <c r="AY99" t="b">
        <f t="shared" si="110"/>
        <v>0</v>
      </c>
      <c r="AZ99" t="b">
        <f t="shared" si="111"/>
        <v>0</v>
      </c>
      <c r="BA99" t="b">
        <f>IF(AND(設定!$B$2&lt;=T99,T99&lt;=設定!$B$3),FALSE,AK99)</f>
        <v>0</v>
      </c>
      <c r="BC99">
        <f t="shared" ca="1" si="112"/>
        <v>0</v>
      </c>
      <c r="BD99">
        <f t="shared" si="118"/>
        <v>94</v>
      </c>
      <c r="BE99" t="str">
        <f t="shared" si="113"/>
        <v/>
      </c>
      <c r="BF99">
        <f>IF(BG99&lt;&gt;"",MAX($BF$6:BF98)+1,0)</f>
        <v>0</v>
      </c>
      <c r="BG99" t="str">
        <f>IF(BE99&lt;&gt;"",IF(COUNTIF($BE$6:BE98,BE99)&gt;0,"",BE99),"")</f>
        <v/>
      </c>
      <c r="BH99" t="str">
        <f t="shared" si="114"/>
        <v/>
      </c>
      <c r="BI99">
        <f>IF(BJ99&lt;&gt;"",MAX($BI$6:BI98)+1,0)</f>
        <v>0</v>
      </c>
      <c r="BJ99" t="str">
        <f>IF(BH99&lt;&gt;"",IF(COUNTIF($BE$6:BH98,BH99)&gt;0,"",BH99),"")</f>
        <v/>
      </c>
    </row>
    <row r="100" spans="1:62" ht="16.5" customHeight="1">
      <c r="A100" t="str">
        <f t="shared" si="85"/>
        <v/>
      </c>
      <c r="B100" t="str">
        <f t="shared" si="86"/>
        <v/>
      </c>
      <c r="C100">
        <f t="shared" ca="1" si="87"/>
        <v>0</v>
      </c>
      <c r="D100" t="str">
        <f t="shared" si="88"/>
        <v/>
      </c>
      <c r="E100">
        <f>IF(B100="",0,LARGE($E$5:E99,1)+1)</f>
        <v>0</v>
      </c>
      <c r="F100" s="44"/>
      <c r="G100" s="45"/>
      <c r="H100" s="7" t="str">
        <f>IF(AND(F100="",G100=""),"",VLOOKUP(学校情報!$B$5&amp;F100&amp;G100,選手データ!$A:$H,4,FALSE))</f>
        <v/>
      </c>
      <c r="I100" s="7" t="str">
        <f>IF(AND(F100="",G100=""),"",VLOOKUP(学校情報!$B$5&amp;F100&amp;G100,選手データ!$A:$H,5,FALSE))</f>
        <v/>
      </c>
      <c r="J100" s="8" t="str">
        <f>IF(AND(F100="",G100=""),"",VLOOKUP(学校情報!$B$5&amp;F100&amp;G100,選手データ!$A:$H,6,FALSE))</f>
        <v/>
      </c>
      <c r="K100" s="32" t="str">
        <f>IF(AND(F100="",G100=""),"",VLOOKUP(学校情報!$B$5&amp;F100&amp;G100,選手データ!$A:$H,8,FALSE))</f>
        <v/>
      </c>
      <c r="L100" s="7" t="str">
        <f>IF(AND(F100="",G100=""),"",VLOOKUP(学校情報!$B$5&amp;F100&amp;G100,選手データ!$A:$I,9,FALSE))</f>
        <v/>
      </c>
      <c r="M100" s="44"/>
      <c r="N100" s="46"/>
      <c r="O100" s="47"/>
      <c r="P100" s="7" t="str">
        <f t="shared" ca="1" si="89"/>
        <v/>
      </c>
      <c r="Q100" s="46"/>
      <c r="R100" s="48"/>
      <c r="S100" s="45"/>
      <c r="T100" s="49"/>
      <c r="U100" s="8" t="str">
        <f t="shared" ca="1" si="90"/>
        <v/>
      </c>
      <c r="V100" s="8" t="str">
        <f t="shared" si="91"/>
        <v/>
      </c>
      <c r="W100" s="4">
        <f t="shared" si="92"/>
        <v>0</v>
      </c>
      <c r="X100" t="b">
        <f ca="1">IF(M100="",FALSE,VLOOKUP(M100,OFFSET(設定!$D$2:$I$25,0,AA100),2,FALSE))</f>
        <v>0</v>
      </c>
      <c r="Y100" t="str">
        <f ca="1">IF(M100="","",VLOOKUP(M100,OFFSET(設定!$D$2:$I$25,0,AA100),3,FALSE))</f>
        <v/>
      </c>
      <c r="Z100" t="b">
        <f ca="1">IF(M100="",FALSE,VLOOKUP(M100,OFFSET(設定!$D$2:$I$25,0,AA100),4,FALSE))</f>
        <v>0</v>
      </c>
      <c r="AA100">
        <f t="shared" si="115"/>
        <v>7</v>
      </c>
      <c r="AB100" s="1" t="str">
        <f ca="1">IF(M100="","",IF(AND(Z100,N100="〇"),IF(VLOOKUP(M100,OFFSET(設定!$D$2:$I$25,0,AA100),5,FALSE)="-","-",LEFT(VLOOKUP(M100,OFFSET(設定!$D$2:$I$25,0,AA100),5,FALSE),INT(LEN(VLOOKUP(M100,OFFSET(設定!$D$2:$I$25,0,AA100),5,FALSE))-1))),IF(VLOOKUP(M100,OFFSET(設定!$D$2:$I$25,0,AA100),5,FALSE)="-","-",INT(VLOOKUP(M100,OFFSET(設定!$D$2:$I$25,0,AA100),5,FALSE)))))</f>
        <v/>
      </c>
      <c r="AC100" s="1" t="str">
        <f ca="1">IF(M100="","",IF(AND(Z100,N100="〇"),IF(VLOOKUP(M100,OFFSET(設定!$D$2:$I$25,0,AA100),6,FALSE)="-","-",LEFT(VLOOKUP(M100,OFFSET(設定!$D$2:$I$25,0,AA100),6,FALSE),INT(LEN(VLOOKUP(M100,OFFSET(設定!$D$2:$I$25,0,AA100),6,FALSE))-1))),IF(VLOOKUP(M100,OFFSET(設定!$D$2:$I$25,0,AA100),6,FALSE)="-","-",INT(VLOOKUP(M100,OFFSET(設定!$D$2:$I$25,0,AA100),6,FALSE)))))</f>
        <v/>
      </c>
      <c r="AD100">
        <f t="shared" si="116"/>
        <v>2</v>
      </c>
      <c r="AE100" t="str">
        <f t="shared" ca="1" si="93"/>
        <v/>
      </c>
      <c r="AF100" t="str">
        <f t="shared" ca="1" si="94"/>
        <v/>
      </c>
      <c r="AG100" t="str">
        <f t="shared" ca="1" si="95"/>
        <v/>
      </c>
      <c r="AH100" t="b">
        <f t="shared" ca="1" si="96"/>
        <v>1</v>
      </c>
      <c r="AI100" t="b">
        <f t="shared" ca="1" si="97"/>
        <v>0</v>
      </c>
      <c r="AJ100" t="b">
        <f t="shared" ca="1" si="98"/>
        <v>0</v>
      </c>
      <c r="AK100" t="b">
        <f t="shared" si="99"/>
        <v>0</v>
      </c>
      <c r="AL100" t="b">
        <f t="shared" si="100"/>
        <v>0</v>
      </c>
      <c r="AM100" t="b">
        <f t="shared" si="101"/>
        <v>0</v>
      </c>
      <c r="AN100" t="b">
        <f t="shared" si="102"/>
        <v>0</v>
      </c>
      <c r="AO100" t="b">
        <f>IF(COUNTIF($D$6:D99,F100&amp;G100&amp;W100)&gt;0,AK100,FALSE)</f>
        <v>0</v>
      </c>
      <c r="AP100" t="b">
        <f t="shared" ca="1" si="117"/>
        <v>0</v>
      </c>
      <c r="AQ100" t="b">
        <f t="shared" si="103"/>
        <v>0</v>
      </c>
      <c r="AR100" t="b">
        <f t="shared" si="104"/>
        <v>0</v>
      </c>
      <c r="AS100" t="b">
        <f t="shared" ca="1" si="105"/>
        <v>0</v>
      </c>
      <c r="AT100" t="b">
        <f t="shared" ca="1" si="106"/>
        <v>0</v>
      </c>
      <c r="AU100" t="b">
        <f ca="1">IF(COUNTIF(設定!$B$6:$B$11,SUMIF($B$6:B99,G100&amp;W100,$C$6:C99)+IF(AI100,10,IF(AJ100,1,0)))=1,FALSE,AK100)</f>
        <v>0</v>
      </c>
      <c r="AV100" t="b">
        <f t="shared" ca="1" si="107"/>
        <v>0</v>
      </c>
      <c r="AW100" t="b">
        <f t="shared" ca="1" si="108"/>
        <v>0</v>
      </c>
      <c r="AX100" t="b">
        <f t="shared" si="109"/>
        <v>0</v>
      </c>
      <c r="AY100" t="b">
        <f t="shared" si="110"/>
        <v>0</v>
      </c>
      <c r="AZ100" t="b">
        <f t="shared" si="111"/>
        <v>0</v>
      </c>
      <c r="BA100" t="b">
        <f>IF(AND(設定!$B$2&lt;=T100,T100&lt;=設定!$B$3),FALSE,AK100)</f>
        <v>0</v>
      </c>
      <c r="BC100">
        <f t="shared" ca="1" si="112"/>
        <v>0</v>
      </c>
      <c r="BD100">
        <f t="shared" si="118"/>
        <v>95</v>
      </c>
      <c r="BE100" t="str">
        <f t="shared" si="113"/>
        <v/>
      </c>
      <c r="BF100">
        <f>IF(BG100&lt;&gt;"",MAX($BF$6:BF99)+1,0)</f>
        <v>0</v>
      </c>
      <c r="BG100" t="str">
        <f>IF(BE100&lt;&gt;"",IF(COUNTIF($BE$6:BE99,BE100)&gt;0,"",BE100),"")</f>
        <v/>
      </c>
      <c r="BH100" t="str">
        <f t="shared" si="114"/>
        <v/>
      </c>
      <c r="BI100">
        <f>IF(BJ100&lt;&gt;"",MAX($BI$6:BI99)+1,0)</f>
        <v>0</v>
      </c>
      <c r="BJ100" t="str">
        <f>IF(BH100&lt;&gt;"",IF(COUNTIF($BE$6:BH99,BH100)&gt;0,"",BH100),"")</f>
        <v/>
      </c>
    </row>
    <row r="101" spans="1:62" ht="16.5" customHeight="1">
      <c r="A101" t="str">
        <f t="shared" si="85"/>
        <v/>
      </c>
      <c r="B101" t="str">
        <f t="shared" si="86"/>
        <v/>
      </c>
      <c r="C101">
        <f t="shared" ca="1" si="87"/>
        <v>0</v>
      </c>
      <c r="D101" t="str">
        <f t="shared" si="88"/>
        <v/>
      </c>
      <c r="E101">
        <f>IF(B101="",0,LARGE($E$5:E100,1)+1)</f>
        <v>0</v>
      </c>
      <c r="F101" s="44"/>
      <c r="G101" s="45"/>
      <c r="H101" s="7" t="str">
        <f>IF(AND(F101="",G101=""),"",VLOOKUP(学校情報!$B$5&amp;F101&amp;G101,選手データ!$A:$H,4,FALSE))</f>
        <v/>
      </c>
      <c r="I101" s="7" t="str">
        <f>IF(AND(F101="",G101=""),"",VLOOKUP(学校情報!$B$5&amp;F101&amp;G101,選手データ!$A:$H,5,FALSE))</f>
        <v/>
      </c>
      <c r="J101" s="8" t="str">
        <f>IF(AND(F101="",G101=""),"",VLOOKUP(学校情報!$B$5&amp;F101&amp;G101,選手データ!$A:$H,6,FALSE))</f>
        <v/>
      </c>
      <c r="K101" s="32" t="str">
        <f>IF(AND(F101="",G101=""),"",VLOOKUP(学校情報!$B$5&amp;F101&amp;G101,選手データ!$A:$H,8,FALSE))</f>
        <v/>
      </c>
      <c r="L101" s="7" t="str">
        <f>IF(AND(F101="",G101=""),"",VLOOKUP(学校情報!$B$5&amp;F101&amp;G101,選手データ!$A:$I,9,FALSE))</f>
        <v/>
      </c>
      <c r="M101" s="44"/>
      <c r="N101" s="46"/>
      <c r="O101" s="47"/>
      <c r="P101" s="7" t="str">
        <f t="shared" ca="1" si="89"/>
        <v/>
      </c>
      <c r="Q101" s="46"/>
      <c r="R101" s="48"/>
      <c r="S101" s="45"/>
      <c r="T101" s="49"/>
      <c r="U101" s="8" t="str">
        <f t="shared" ca="1" si="90"/>
        <v/>
      </c>
      <c r="V101" s="8" t="str">
        <f t="shared" si="91"/>
        <v/>
      </c>
      <c r="W101" s="4">
        <f t="shared" si="92"/>
        <v>0</v>
      </c>
      <c r="X101" t="b">
        <f ca="1">IF(M101="",FALSE,VLOOKUP(M101,OFFSET(設定!$D$2:$I$25,0,AA101),2,FALSE))</f>
        <v>0</v>
      </c>
      <c r="Y101" t="str">
        <f ca="1">IF(M101="","",VLOOKUP(M101,OFFSET(設定!$D$2:$I$25,0,AA101),3,FALSE))</f>
        <v/>
      </c>
      <c r="Z101" t="b">
        <f ca="1">IF(M101="",FALSE,VLOOKUP(M101,OFFSET(設定!$D$2:$I$25,0,AA101),4,FALSE))</f>
        <v>0</v>
      </c>
      <c r="AA101">
        <f t="shared" si="115"/>
        <v>7</v>
      </c>
      <c r="AB101" s="1" t="str">
        <f ca="1">IF(M101="","",IF(AND(Z101,N101="〇"),IF(VLOOKUP(M101,OFFSET(設定!$D$2:$I$25,0,AA101),5,FALSE)="-","-",LEFT(VLOOKUP(M101,OFFSET(設定!$D$2:$I$25,0,AA101),5,FALSE),INT(LEN(VLOOKUP(M101,OFFSET(設定!$D$2:$I$25,0,AA101),5,FALSE))-1))),IF(VLOOKUP(M101,OFFSET(設定!$D$2:$I$25,0,AA101),5,FALSE)="-","-",INT(VLOOKUP(M101,OFFSET(設定!$D$2:$I$25,0,AA101),5,FALSE)))))</f>
        <v/>
      </c>
      <c r="AC101" s="1" t="str">
        <f ca="1">IF(M101="","",IF(AND(Z101,N101="〇"),IF(VLOOKUP(M101,OFFSET(設定!$D$2:$I$25,0,AA101),6,FALSE)="-","-",LEFT(VLOOKUP(M101,OFFSET(設定!$D$2:$I$25,0,AA101),6,FALSE),INT(LEN(VLOOKUP(M101,OFFSET(設定!$D$2:$I$25,0,AA101),6,FALSE))-1))),IF(VLOOKUP(M101,OFFSET(設定!$D$2:$I$25,0,AA101),6,FALSE)="-","-",INT(VLOOKUP(M101,OFFSET(設定!$D$2:$I$25,0,AA101),6,FALSE)))))</f>
        <v/>
      </c>
      <c r="AD101">
        <f t="shared" si="116"/>
        <v>2</v>
      </c>
      <c r="AE101" t="str">
        <f t="shared" ca="1" si="93"/>
        <v/>
      </c>
      <c r="AF101" t="str">
        <f t="shared" ca="1" si="94"/>
        <v/>
      </c>
      <c r="AG101" t="str">
        <f t="shared" ca="1" si="95"/>
        <v/>
      </c>
      <c r="AH101" t="b">
        <f t="shared" ca="1" si="96"/>
        <v>1</v>
      </c>
      <c r="AI101" t="b">
        <f t="shared" ca="1" si="97"/>
        <v>0</v>
      </c>
      <c r="AJ101" t="b">
        <f t="shared" ca="1" si="98"/>
        <v>0</v>
      </c>
      <c r="AK101" t="b">
        <f t="shared" si="99"/>
        <v>0</v>
      </c>
      <c r="AL101" t="b">
        <f t="shared" si="100"/>
        <v>0</v>
      </c>
      <c r="AM101" t="b">
        <f t="shared" si="101"/>
        <v>0</v>
      </c>
      <c r="AN101" t="b">
        <f t="shared" si="102"/>
        <v>0</v>
      </c>
      <c r="AO101" t="b">
        <f>IF(COUNTIF($D$6:D100,F101&amp;G101&amp;W101)&gt;0,AK101,FALSE)</f>
        <v>0</v>
      </c>
      <c r="AP101" t="b">
        <f t="shared" ca="1" si="117"/>
        <v>0</v>
      </c>
      <c r="AQ101" t="b">
        <f t="shared" si="103"/>
        <v>0</v>
      </c>
      <c r="AR101" t="b">
        <f t="shared" si="104"/>
        <v>0</v>
      </c>
      <c r="AS101" t="b">
        <f t="shared" ca="1" si="105"/>
        <v>0</v>
      </c>
      <c r="AT101" t="b">
        <f t="shared" ca="1" si="106"/>
        <v>0</v>
      </c>
      <c r="AU101" t="b">
        <f ca="1">IF(COUNTIF(設定!$B$6:$B$11,SUMIF($B$6:B100,G101&amp;W101,$C$6:C100)+IF(AI101,10,IF(AJ101,1,0)))=1,FALSE,AK101)</f>
        <v>0</v>
      </c>
      <c r="AV101" t="b">
        <f t="shared" ca="1" si="107"/>
        <v>0</v>
      </c>
      <c r="AW101" t="b">
        <f t="shared" ca="1" si="108"/>
        <v>0</v>
      </c>
      <c r="AX101" t="b">
        <f t="shared" si="109"/>
        <v>0</v>
      </c>
      <c r="AY101" t="b">
        <f t="shared" si="110"/>
        <v>0</v>
      </c>
      <c r="AZ101" t="b">
        <f t="shared" si="111"/>
        <v>0</v>
      </c>
      <c r="BA101" t="b">
        <f>IF(AND(設定!$B$2&lt;=T101,T101&lt;=設定!$B$3),FALSE,AK101)</f>
        <v>0</v>
      </c>
      <c r="BC101">
        <f t="shared" ca="1" si="112"/>
        <v>0</v>
      </c>
      <c r="BD101">
        <f t="shared" si="118"/>
        <v>96</v>
      </c>
      <c r="BE101" t="str">
        <f t="shared" si="113"/>
        <v/>
      </c>
      <c r="BF101">
        <f>IF(BG101&lt;&gt;"",MAX($BF$6:BF100)+1,0)</f>
        <v>0</v>
      </c>
      <c r="BG101" t="str">
        <f>IF(BE101&lt;&gt;"",IF(COUNTIF($BE$6:BE100,BE101)&gt;0,"",BE101),"")</f>
        <v/>
      </c>
      <c r="BH101" t="str">
        <f t="shared" si="114"/>
        <v/>
      </c>
      <c r="BI101">
        <f>IF(BJ101&lt;&gt;"",MAX($BI$6:BI100)+1,0)</f>
        <v>0</v>
      </c>
      <c r="BJ101" t="str">
        <f>IF(BH101&lt;&gt;"",IF(COUNTIF($BE$6:BH100,BH101)&gt;0,"",BH101),"")</f>
        <v/>
      </c>
    </row>
    <row r="102" spans="1:62" ht="16.5" customHeight="1">
      <c r="A102" t="str">
        <f t="shared" si="85"/>
        <v/>
      </c>
      <c r="B102" t="str">
        <f t="shared" si="86"/>
        <v/>
      </c>
      <c r="C102">
        <f t="shared" ca="1" si="87"/>
        <v>0</v>
      </c>
      <c r="D102" t="str">
        <f t="shared" si="88"/>
        <v/>
      </c>
      <c r="E102">
        <f>IF(B102="",0,LARGE($E$5:E101,1)+1)</f>
        <v>0</v>
      </c>
      <c r="F102" s="44"/>
      <c r="G102" s="45"/>
      <c r="H102" s="7" t="str">
        <f>IF(AND(F102="",G102=""),"",VLOOKUP(学校情報!$B$5&amp;F102&amp;G102,選手データ!$A:$H,4,FALSE))</f>
        <v/>
      </c>
      <c r="I102" s="7" t="str">
        <f>IF(AND(F102="",G102=""),"",VLOOKUP(学校情報!$B$5&amp;F102&amp;G102,選手データ!$A:$H,5,FALSE))</f>
        <v/>
      </c>
      <c r="J102" s="8" t="str">
        <f>IF(AND(F102="",G102=""),"",VLOOKUP(学校情報!$B$5&amp;F102&amp;G102,選手データ!$A:$H,6,FALSE))</f>
        <v/>
      </c>
      <c r="K102" s="32" t="str">
        <f>IF(AND(F102="",G102=""),"",VLOOKUP(学校情報!$B$5&amp;F102&amp;G102,選手データ!$A:$H,8,FALSE))</f>
        <v/>
      </c>
      <c r="L102" s="7" t="str">
        <f>IF(AND(F102="",G102=""),"",VLOOKUP(学校情報!$B$5&amp;F102&amp;G102,選手データ!$A:$I,9,FALSE))</f>
        <v/>
      </c>
      <c r="M102" s="44"/>
      <c r="N102" s="46"/>
      <c r="O102" s="47"/>
      <c r="P102" s="7" t="str">
        <f t="shared" ca="1" si="89"/>
        <v/>
      </c>
      <c r="Q102" s="46"/>
      <c r="R102" s="48"/>
      <c r="S102" s="45"/>
      <c r="T102" s="49"/>
      <c r="U102" s="8" t="str">
        <f t="shared" ca="1" si="90"/>
        <v/>
      </c>
      <c r="V102" s="8" t="str">
        <f t="shared" si="91"/>
        <v/>
      </c>
      <c r="W102" s="4">
        <f t="shared" si="92"/>
        <v>0</v>
      </c>
      <c r="X102" t="b">
        <f ca="1">IF(M102="",FALSE,VLOOKUP(M102,OFFSET(設定!$D$2:$I$25,0,AA102),2,FALSE))</f>
        <v>0</v>
      </c>
      <c r="Y102" t="str">
        <f ca="1">IF(M102="","",VLOOKUP(M102,OFFSET(設定!$D$2:$I$25,0,AA102),3,FALSE))</f>
        <v/>
      </c>
      <c r="Z102" t="b">
        <f ca="1">IF(M102="",FALSE,VLOOKUP(M102,OFFSET(設定!$D$2:$I$25,0,AA102),4,FALSE))</f>
        <v>0</v>
      </c>
      <c r="AA102">
        <f t="shared" si="115"/>
        <v>7</v>
      </c>
      <c r="AB102" s="1" t="str">
        <f ca="1">IF(M102="","",IF(AND(Z102,N102="〇"),IF(VLOOKUP(M102,OFFSET(設定!$D$2:$I$25,0,AA102),5,FALSE)="-","-",LEFT(VLOOKUP(M102,OFFSET(設定!$D$2:$I$25,0,AA102),5,FALSE),INT(LEN(VLOOKUP(M102,OFFSET(設定!$D$2:$I$25,0,AA102),5,FALSE))-1))),IF(VLOOKUP(M102,OFFSET(設定!$D$2:$I$25,0,AA102),5,FALSE)="-","-",INT(VLOOKUP(M102,OFFSET(設定!$D$2:$I$25,0,AA102),5,FALSE)))))</f>
        <v/>
      </c>
      <c r="AC102" s="1" t="str">
        <f ca="1">IF(M102="","",IF(AND(Z102,N102="〇"),IF(VLOOKUP(M102,OFFSET(設定!$D$2:$I$25,0,AA102),6,FALSE)="-","-",LEFT(VLOOKUP(M102,OFFSET(設定!$D$2:$I$25,0,AA102),6,FALSE),INT(LEN(VLOOKUP(M102,OFFSET(設定!$D$2:$I$25,0,AA102),6,FALSE))-1))),IF(VLOOKUP(M102,OFFSET(設定!$D$2:$I$25,0,AA102),6,FALSE)="-","-",INT(VLOOKUP(M102,OFFSET(設定!$D$2:$I$25,0,AA102),6,FALSE)))))</f>
        <v/>
      </c>
      <c r="AD102">
        <f t="shared" si="116"/>
        <v>2</v>
      </c>
      <c r="AE102" t="str">
        <f t="shared" ca="1" si="93"/>
        <v/>
      </c>
      <c r="AF102" t="str">
        <f t="shared" ca="1" si="94"/>
        <v/>
      </c>
      <c r="AG102" t="str">
        <f t="shared" ca="1" si="95"/>
        <v/>
      </c>
      <c r="AH102" t="b">
        <f t="shared" ca="1" si="96"/>
        <v>1</v>
      </c>
      <c r="AI102" t="b">
        <f t="shared" ca="1" si="97"/>
        <v>0</v>
      </c>
      <c r="AJ102" t="b">
        <f t="shared" ca="1" si="98"/>
        <v>0</v>
      </c>
      <c r="AK102" t="b">
        <f t="shared" si="99"/>
        <v>0</v>
      </c>
      <c r="AL102" t="b">
        <f t="shared" si="100"/>
        <v>0</v>
      </c>
      <c r="AM102" t="b">
        <f t="shared" si="101"/>
        <v>0</v>
      </c>
      <c r="AN102" t="b">
        <f t="shared" si="102"/>
        <v>0</v>
      </c>
      <c r="AO102" t="b">
        <f>IF(COUNTIF($D$6:D101,F102&amp;G102&amp;W102)&gt;0,AK102,FALSE)</f>
        <v>0</v>
      </c>
      <c r="AP102" t="b">
        <f t="shared" ca="1" si="117"/>
        <v>0</v>
      </c>
      <c r="AQ102" t="b">
        <f t="shared" si="103"/>
        <v>0</v>
      </c>
      <c r="AR102" t="b">
        <f t="shared" si="104"/>
        <v>0</v>
      </c>
      <c r="AS102" t="b">
        <f t="shared" ca="1" si="105"/>
        <v>0</v>
      </c>
      <c r="AT102" t="b">
        <f t="shared" ca="1" si="106"/>
        <v>0</v>
      </c>
      <c r="AU102" t="b">
        <f ca="1">IF(COUNTIF(設定!$B$6:$B$11,SUMIF($B$6:B101,G102&amp;W102,$C$6:C101)+IF(AI102,10,IF(AJ102,1,0)))=1,FALSE,AK102)</f>
        <v>0</v>
      </c>
      <c r="AV102" t="b">
        <f t="shared" ca="1" si="107"/>
        <v>0</v>
      </c>
      <c r="AW102" t="b">
        <f t="shared" ca="1" si="108"/>
        <v>0</v>
      </c>
      <c r="AX102" t="b">
        <f t="shared" si="109"/>
        <v>0</v>
      </c>
      <c r="AY102" t="b">
        <f t="shared" si="110"/>
        <v>0</v>
      </c>
      <c r="AZ102" t="b">
        <f t="shared" si="111"/>
        <v>0</v>
      </c>
      <c r="BA102" t="b">
        <f>IF(AND(設定!$B$2&lt;=T102,T102&lt;=設定!$B$3),FALSE,AK102)</f>
        <v>0</v>
      </c>
      <c r="BC102">
        <f t="shared" ca="1" si="112"/>
        <v>0</v>
      </c>
      <c r="BD102">
        <f t="shared" si="118"/>
        <v>97</v>
      </c>
      <c r="BE102" t="str">
        <f t="shared" si="113"/>
        <v/>
      </c>
      <c r="BF102">
        <f>IF(BG102&lt;&gt;"",MAX($BF$6:BF101)+1,0)</f>
        <v>0</v>
      </c>
      <c r="BG102" t="str">
        <f>IF(BE102&lt;&gt;"",IF(COUNTIF($BE$6:BE101,BE102)&gt;0,"",BE102),"")</f>
        <v/>
      </c>
      <c r="BH102" t="str">
        <f t="shared" si="114"/>
        <v/>
      </c>
      <c r="BI102">
        <f>IF(BJ102&lt;&gt;"",MAX($BI$6:BI101)+1,0)</f>
        <v>0</v>
      </c>
      <c r="BJ102" t="str">
        <f>IF(BH102&lt;&gt;"",IF(COUNTIF($BE$6:BH101,BH102)&gt;0,"",BH102),"")</f>
        <v/>
      </c>
    </row>
    <row r="103" spans="1:62" ht="16.5" customHeight="1">
      <c r="A103" t="str">
        <f t="shared" si="85"/>
        <v/>
      </c>
      <c r="B103" t="str">
        <f t="shared" si="86"/>
        <v/>
      </c>
      <c r="C103">
        <f t="shared" ca="1" si="87"/>
        <v>0</v>
      </c>
      <c r="D103" t="str">
        <f t="shared" si="88"/>
        <v/>
      </c>
      <c r="E103">
        <f>IF(B103="",0,LARGE($E$5:E102,1)+1)</f>
        <v>0</v>
      </c>
      <c r="F103" s="44"/>
      <c r="G103" s="45"/>
      <c r="H103" s="7" t="str">
        <f>IF(AND(F103="",G103=""),"",VLOOKUP(学校情報!$B$5&amp;F103&amp;G103,選手データ!$A:$H,4,FALSE))</f>
        <v/>
      </c>
      <c r="I103" s="7" t="str">
        <f>IF(AND(F103="",G103=""),"",VLOOKUP(学校情報!$B$5&amp;F103&amp;G103,選手データ!$A:$H,5,FALSE))</f>
        <v/>
      </c>
      <c r="J103" s="8" t="str">
        <f>IF(AND(F103="",G103=""),"",VLOOKUP(学校情報!$B$5&amp;F103&amp;G103,選手データ!$A:$H,6,FALSE))</f>
        <v/>
      </c>
      <c r="K103" s="32" t="str">
        <f>IF(AND(F103="",G103=""),"",VLOOKUP(学校情報!$B$5&amp;F103&amp;G103,選手データ!$A:$H,8,FALSE))</f>
        <v/>
      </c>
      <c r="L103" s="7" t="str">
        <f>IF(AND(F103="",G103=""),"",VLOOKUP(学校情報!$B$5&amp;F103&amp;G103,選手データ!$A:$I,9,FALSE))</f>
        <v/>
      </c>
      <c r="M103" s="44"/>
      <c r="N103" s="46"/>
      <c r="O103" s="47"/>
      <c r="P103" s="7" t="str">
        <f t="shared" ca="1" si="89"/>
        <v/>
      </c>
      <c r="Q103" s="46"/>
      <c r="R103" s="48"/>
      <c r="S103" s="45"/>
      <c r="T103" s="49"/>
      <c r="U103" s="8" t="str">
        <f t="shared" ca="1" si="90"/>
        <v/>
      </c>
      <c r="V103" s="8" t="str">
        <f t="shared" si="91"/>
        <v/>
      </c>
      <c r="W103" s="4">
        <f t="shared" si="92"/>
        <v>0</v>
      </c>
      <c r="X103" t="b">
        <f ca="1">IF(M103="",FALSE,VLOOKUP(M103,OFFSET(設定!$D$2:$I$25,0,AA103),2,FALSE))</f>
        <v>0</v>
      </c>
      <c r="Y103" t="str">
        <f ca="1">IF(M103="","",VLOOKUP(M103,OFFSET(設定!$D$2:$I$25,0,AA103),3,FALSE))</f>
        <v/>
      </c>
      <c r="Z103" t="b">
        <f ca="1">IF(M103="",FALSE,VLOOKUP(M103,OFFSET(設定!$D$2:$I$25,0,AA103),4,FALSE))</f>
        <v>0</v>
      </c>
      <c r="AA103">
        <f t="shared" si="115"/>
        <v>7</v>
      </c>
      <c r="AB103" s="1" t="str">
        <f ca="1">IF(M103="","",IF(AND(Z103,N103="〇"),IF(VLOOKUP(M103,OFFSET(設定!$D$2:$I$25,0,AA103),5,FALSE)="-","-",LEFT(VLOOKUP(M103,OFFSET(設定!$D$2:$I$25,0,AA103),5,FALSE),INT(LEN(VLOOKUP(M103,OFFSET(設定!$D$2:$I$25,0,AA103),5,FALSE))-1))),IF(VLOOKUP(M103,OFFSET(設定!$D$2:$I$25,0,AA103),5,FALSE)="-","-",INT(VLOOKUP(M103,OFFSET(設定!$D$2:$I$25,0,AA103),5,FALSE)))))</f>
        <v/>
      </c>
      <c r="AC103" s="1" t="str">
        <f ca="1">IF(M103="","",IF(AND(Z103,N103="〇"),IF(VLOOKUP(M103,OFFSET(設定!$D$2:$I$25,0,AA103),6,FALSE)="-","-",LEFT(VLOOKUP(M103,OFFSET(設定!$D$2:$I$25,0,AA103),6,FALSE),INT(LEN(VLOOKUP(M103,OFFSET(設定!$D$2:$I$25,0,AA103),6,FALSE))-1))),IF(VLOOKUP(M103,OFFSET(設定!$D$2:$I$25,0,AA103),6,FALSE)="-","-",INT(VLOOKUP(M103,OFFSET(設定!$D$2:$I$25,0,AA103),6,FALSE)))))</f>
        <v/>
      </c>
      <c r="AD103">
        <f t="shared" si="116"/>
        <v>2</v>
      </c>
      <c r="AE103" t="str">
        <f t="shared" ca="1" si="93"/>
        <v/>
      </c>
      <c r="AF103" t="str">
        <f t="shared" ca="1" si="94"/>
        <v/>
      </c>
      <c r="AG103" t="str">
        <f t="shared" ca="1" si="95"/>
        <v/>
      </c>
      <c r="AH103" t="b">
        <f t="shared" ca="1" si="96"/>
        <v>1</v>
      </c>
      <c r="AI103" t="b">
        <f t="shared" ca="1" si="97"/>
        <v>0</v>
      </c>
      <c r="AJ103" t="b">
        <f t="shared" ca="1" si="98"/>
        <v>0</v>
      </c>
      <c r="AK103" t="b">
        <f t="shared" si="99"/>
        <v>0</v>
      </c>
      <c r="AL103" t="b">
        <f t="shared" si="100"/>
        <v>0</v>
      </c>
      <c r="AM103" t="b">
        <f t="shared" si="101"/>
        <v>0</v>
      </c>
      <c r="AN103" t="b">
        <f t="shared" si="102"/>
        <v>0</v>
      </c>
      <c r="AO103" t="b">
        <f>IF(COUNTIF($D$6:D102,F103&amp;G103&amp;W103)&gt;0,AK103,FALSE)</f>
        <v>0</v>
      </c>
      <c r="AP103" t="b">
        <f t="shared" ca="1" si="117"/>
        <v>0</v>
      </c>
      <c r="AQ103" t="b">
        <f t="shared" si="103"/>
        <v>0</v>
      </c>
      <c r="AR103" t="b">
        <f t="shared" si="104"/>
        <v>0</v>
      </c>
      <c r="AS103" t="b">
        <f t="shared" ca="1" si="105"/>
        <v>0</v>
      </c>
      <c r="AT103" t="b">
        <f t="shared" ca="1" si="106"/>
        <v>0</v>
      </c>
      <c r="AU103" t="b">
        <f ca="1">IF(COUNTIF(設定!$B$6:$B$11,SUMIF($B$6:B102,G103&amp;W103,$C$6:C102)+IF(AI103,10,IF(AJ103,1,0)))=1,FALSE,AK103)</f>
        <v>0</v>
      </c>
      <c r="AV103" t="b">
        <f t="shared" ca="1" si="107"/>
        <v>0</v>
      </c>
      <c r="AW103" t="b">
        <f t="shared" ca="1" si="108"/>
        <v>0</v>
      </c>
      <c r="AX103" t="b">
        <f t="shared" si="109"/>
        <v>0</v>
      </c>
      <c r="AY103" t="b">
        <f t="shared" si="110"/>
        <v>0</v>
      </c>
      <c r="AZ103" t="b">
        <f t="shared" si="111"/>
        <v>0</v>
      </c>
      <c r="BA103" t="b">
        <f>IF(AND(設定!$B$2&lt;=T103,T103&lt;=設定!$B$3),FALSE,AK103)</f>
        <v>0</v>
      </c>
      <c r="BC103">
        <f t="shared" ca="1" si="112"/>
        <v>0</v>
      </c>
      <c r="BD103">
        <f t="shared" si="118"/>
        <v>98</v>
      </c>
      <c r="BE103" t="str">
        <f t="shared" si="113"/>
        <v/>
      </c>
      <c r="BF103">
        <f>IF(BG103&lt;&gt;"",MAX($BF$6:BF102)+1,0)</f>
        <v>0</v>
      </c>
      <c r="BG103" t="str">
        <f>IF(BE103&lt;&gt;"",IF(COUNTIF($BE$6:BE102,BE103)&gt;0,"",BE103),"")</f>
        <v/>
      </c>
      <c r="BH103" t="str">
        <f t="shared" si="114"/>
        <v/>
      </c>
      <c r="BI103">
        <f>IF(BJ103&lt;&gt;"",MAX($BI$6:BI102)+1,0)</f>
        <v>0</v>
      </c>
      <c r="BJ103" t="str">
        <f>IF(BH103&lt;&gt;"",IF(COUNTIF($BE$6:BH102,BH103)&gt;0,"",BH103),"")</f>
        <v/>
      </c>
    </row>
    <row r="104" spans="1:62" ht="16.5" customHeight="1">
      <c r="A104" t="str">
        <f t="shared" si="85"/>
        <v/>
      </c>
      <c r="B104" t="str">
        <f t="shared" si="86"/>
        <v/>
      </c>
      <c r="C104">
        <f t="shared" ca="1" si="87"/>
        <v>0</v>
      </c>
      <c r="D104" t="str">
        <f t="shared" si="88"/>
        <v/>
      </c>
      <c r="E104">
        <f>IF(B104="",0,LARGE($E$5:E103,1)+1)</f>
        <v>0</v>
      </c>
      <c r="F104" s="44"/>
      <c r="G104" s="45"/>
      <c r="H104" s="7" t="str">
        <f>IF(AND(F104="",G104=""),"",VLOOKUP(学校情報!$B$5&amp;F104&amp;G104,選手データ!$A:$H,4,FALSE))</f>
        <v/>
      </c>
      <c r="I104" s="7" t="str">
        <f>IF(AND(F104="",G104=""),"",VLOOKUP(学校情報!$B$5&amp;F104&amp;G104,選手データ!$A:$H,5,FALSE))</f>
        <v/>
      </c>
      <c r="J104" s="8" t="str">
        <f>IF(AND(F104="",G104=""),"",VLOOKUP(学校情報!$B$5&amp;F104&amp;G104,選手データ!$A:$H,6,FALSE))</f>
        <v/>
      </c>
      <c r="K104" s="32" t="str">
        <f>IF(AND(F104="",G104=""),"",VLOOKUP(学校情報!$B$5&amp;F104&amp;G104,選手データ!$A:$H,8,FALSE))</f>
        <v/>
      </c>
      <c r="L104" s="7" t="str">
        <f>IF(AND(F104="",G104=""),"",VLOOKUP(学校情報!$B$5&amp;F104&amp;G104,選手データ!$A:$I,9,FALSE))</f>
        <v/>
      </c>
      <c r="M104" s="44"/>
      <c r="N104" s="46"/>
      <c r="O104" s="47"/>
      <c r="P104" s="7" t="str">
        <f t="shared" ca="1" si="89"/>
        <v/>
      </c>
      <c r="Q104" s="46"/>
      <c r="R104" s="48"/>
      <c r="S104" s="45"/>
      <c r="T104" s="49"/>
      <c r="U104" s="8" t="str">
        <f t="shared" ca="1" si="90"/>
        <v/>
      </c>
      <c r="V104" s="8" t="str">
        <f t="shared" si="91"/>
        <v/>
      </c>
      <c r="W104" s="4">
        <f t="shared" si="92"/>
        <v>0</v>
      </c>
      <c r="X104" t="b">
        <f ca="1">IF(M104="",FALSE,VLOOKUP(M104,OFFSET(設定!$D$2:$I$25,0,AA104),2,FALSE))</f>
        <v>0</v>
      </c>
      <c r="Y104" t="str">
        <f ca="1">IF(M104="","",VLOOKUP(M104,OFFSET(設定!$D$2:$I$25,0,AA104),3,FALSE))</f>
        <v/>
      </c>
      <c r="Z104" t="b">
        <f ca="1">IF(M104="",FALSE,VLOOKUP(M104,OFFSET(設定!$D$2:$I$25,0,AA104),4,FALSE))</f>
        <v>0</v>
      </c>
      <c r="AA104">
        <f t="shared" si="115"/>
        <v>7</v>
      </c>
      <c r="AB104" s="1" t="str">
        <f ca="1">IF(M104="","",IF(AND(Z104,N104="〇"),IF(VLOOKUP(M104,OFFSET(設定!$D$2:$I$25,0,AA104),5,FALSE)="-","-",LEFT(VLOOKUP(M104,OFFSET(設定!$D$2:$I$25,0,AA104),5,FALSE),INT(LEN(VLOOKUP(M104,OFFSET(設定!$D$2:$I$25,0,AA104),5,FALSE))-1))),IF(VLOOKUP(M104,OFFSET(設定!$D$2:$I$25,0,AA104),5,FALSE)="-","-",INT(VLOOKUP(M104,OFFSET(設定!$D$2:$I$25,0,AA104),5,FALSE)))))</f>
        <v/>
      </c>
      <c r="AC104" s="1" t="str">
        <f ca="1">IF(M104="","",IF(AND(Z104,N104="〇"),IF(VLOOKUP(M104,OFFSET(設定!$D$2:$I$25,0,AA104),6,FALSE)="-","-",LEFT(VLOOKUP(M104,OFFSET(設定!$D$2:$I$25,0,AA104),6,FALSE),INT(LEN(VLOOKUP(M104,OFFSET(設定!$D$2:$I$25,0,AA104),6,FALSE))-1))),IF(VLOOKUP(M104,OFFSET(設定!$D$2:$I$25,0,AA104),6,FALSE)="-","-",INT(VLOOKUP(M104,OFFSET(設定!$D$2:$I$25,0,AA104),6,FALSE)))))</f>
        <v/>
      </c>
      <c r="AD104">
        <f t="shared" si="116"/>
        <v>2</v>
      </c>
      <c r="AE104" t="str">
        <f t="shared" ca="1" si="93"/>
        <v/>
      </c>
      <c r="AF104" t="str">
        <f t="shared" ca="1" si="94"/>
        <v/>
      </c>
      <c r="AG104" t="str">
        <f t="shared" ca="1" si="95"/>
        <v/>
      </c>
      <c r="AH104" t="b">
        <f t="shared" ca="1" si="96"/>
        <v>1</v>
      </c>
      <c r="AI104" t="b">
        <f t="shared" ca="1" si="97"/>
        <v>0</v>
      </c>
      <c r="AJ104" t="b">
        <f t="shared" ca="1" si="98"/>
        <v>0</v>
      </c>
      <c r="AK104" t="b">
        <f t="shared" si="99"/>
        <v>0</v>
      </c>
      <c r="AL104" t="b">
        <f t="shared" si="100"/>
        <v>0</v>
      </c>
      <c r="AM104" t="b">
        <f t="shared" si="101"/>
        <v>0</v>
      </c>
      <c r="AN104" t="b">
        <f t="shared" si="102"/>
        <v>0</v>
      </c>
      <c r="AO104" t="b">
        <f>IF(COUNTIF($D$6:D103,F104&amp;G104&amp;W104)&gt;0,AK104,FALSE)</f>
        <v>0</v>
      </c>
      <c r="AP104" t="b">
        <f t="shared" ca="1" si="117"/>
        <v>0</v>
      </c>
      <c r="AQ104" t="b">
        <f t="shared" si="103"/>
        <v>0</v>
      </c>
      <c r="AR104" t="b">
        <f t="shared" si="104"/>
        <v>0</v>
      </c>
      <c r="AS104" t="b">
        <f t="shared" ca="1" si="105"/>
        <v>0</v>
      </c>
      <c r="AT104" t="b">
        <f t="shared" ca="1" si="106"/>
        <v>0</v>
      </c>
      <c r="AU104" t="b">
        <f ca="1">IF(COUNTIF(設定!$B$6:$B$11,SUMIF($B$6:B103,G104&amp;W104,$C$6:C103)+IF(AI104,10,IF(AJ104,1,0)))=1,FALSE,AK104)</f>
        <v>0</v>
      </c>
      <c r="AV104" t="b">
        <f t="shared" ca="1" si="107"/>
        <v>0</v>
      </c>
      <c r="AW104" t="b">
        <f t="shared" ca="1" si="108"/>
        <v>0</v>
      </c>
      <c r="AX104" t="b">
        <f t="shared" si="109"/>
        <v>0</v>
      </c>
      <c r="AY104" t="b">
        <f t="shared" si="110"/>
        <v>0</v>
      </c>
      <c r="AZ104" t="b">
        <f t="shared" si="111"/>
        <v>0</v>
      </c>
      <c r="BA104" t="b">
        <f>IF(AND(設定!$B$2&lt;=T104,T104&lt;=設定!$B$3),FALSE,AK104)</f>
        <v>0</v>
      </c>
      <c r="BC104">
        <f t="shared" ca="1" si="112"/>
        <v>0</v>
      </c>
      <c r="BD104">
        <f t="shared" si="118"/>
        <v>99</v>
      </c>
      <c r="BE104" t="str">
        <f t="shared" si="113"/>
        <v/>
      </c>
      <c r="BF104">
        <f>IF(BG104&lt;&gt;"",MAX($BF$6:BF103)+1,0)</f>
        <v>0</v>
      </c>
      <c r="BG104" t="str">
        <f>IF(BE104&lt;&gt;"",IF(COUNTIF($BE$6:BE103,BE104)&gt;0,"",BE104),"")</f>
        <v/>
      </c>
      <c r="BH104" t="str">
        <f t="shared" si="114"/>
        <v/>
      </c>
      <c r="BI104">
        <f>IF(BJ104&lt;&gt;"",MAX($BI$6:BI103)+1,0)</f>
        <v>0</v>
      </c>
      <c r="BJ104" t="str">
        <f>IF(BH104&lt;&gt;"",IF(COUNTIF($BE$6:BH103,BH104)&gt;0,"",BH104),"")</f>
        <v/>
      </c>
    </row>
    <row r="105" spans="1:62" ht="16.5" customHeight="1">
      <c r="A105" t="str">
        <f t="shared" si="85"/>
        <v/>
      </c>
      <c r="B105" t="str">
        <f t="shared" si="86"/>
        <v/>
      </c>
      <c r="C105">
        <f t="shared" ca="1" si="87"/>
        <v>0</v>
      </c>
      <c r="D105" t="str">
        <f t="shared" si="88"/>
        <v/>
      </c>
      <c r="E105">
        <f>IF(B105="",0,LARGE($E$5:E104,1)+1)</f>
        <v>0</v>
      </c>
      <c r="F105" s="44"/>
      <c r="G105" s="45"/>
      <c r="H105" s="7" t="str">
        <f>IF(AND(F105="",G105=""),"",VLOOKUP(学校情報!$B$5&amp;F105&amp;G105,選手データ!$A:$H,4,FALSE))</f>
        <v/>
      </c>
      <c r="I105" s="7" t="str">
        <f>IF(AND(F105="",G105=""),"",VLOOKUP(学校情報!$B$5&amp;F105&amp;G105,選手データ!$A:$H,5,FALSE))</f>
        <v/>
      </c>
      <c r="J105" s="8" t="str">
        <f>IF(AND(F105="",G105=""),"",VLOOKUP(学校情報!$B$5&amp;F105&amp;G105,選手データ!$A:$H,6,FALSE))</f>
        <v/>
      </c>
      <c r="K105" s="32" t="str">
        <f>IF(AND(F105="",G105=""),"",VLOOKUP(学校情報!$B$5&amp;F105&amp;G105,選手データ!$A:$H,8,FALSE))</f>
        <v/>
      </c>
      <c r="L105" s="7" t="str">
        <f>IF(AND(F105="",G105=""),"",VLOOKUP(学校情報!$B$5&amp;F105&amp;G105,選手データ!$A:$I,9,FALSE))</f>
        <v/>
      </c>
      <c r="M105" s="44"/>
      <c r="N105" s="46"/>
      <c r="O105" s="47"/>
      <c r="P105" s="7" t="str">
        <f t="shared" ca="1" si="89"/>
        <v/>
      </c>
      <c r="Q105" s="46"/>
      <c r="R105" s="48"/>
      <c r="S105" s="45"/>
      <c r="T105" s="49"/>
      <c r="U105" s="8" t="str">
        <f t="shared" ca="1" si="90"/>
        <v/>
      </c>
      <c r="V105" s="8" t="str">
        <f t="shared" si="91"/>
        <v/>
      </c>
      <c r="W105" s="4">
        <f t="shared" si="92"/>
        <v>0</v>
      </c>
      <c r="X105" t="b">
        <f ca="1">IF(M105="",FALSE,VLOOKUP(M105,OFFSET(設定!$D$2:$I$25,0,AA105),2,FALSE))</f>
        <v>0</v>
      </c>
      <c r="Y105" t="str">
        <f ca="1">IF(M105="","",VLOOKUP(M105,OFFSET(設定!$D$2:$I$25,0,AA105),3,FALSE))</f>
        <v/>
      </c>
      <c r="Z105" t="b">
        <f ca="1">IF(M105="",FALSE,VLOOKUP(M105,OFFSET(設定!$D$2:$I$25,0,AA105),4,FALSE))</f>
        <v>0</v>
      </c>
      <c r="AA105">
        <f t="shared" si="115"/>
        <v>7</v>
      </c>
      <c r="AB105" s="1" t="str">
        <f ca="1">IF(M105="","",IF(AND(Z105,N105="〇"),IF(VLOOKUP(M105,OFFSET(設定!$D$2:$I$25,0,AA105),5,FALSE)="-","-",LEFT(VLOOKUP(M105,OFFSET(設定!$D$2:$I$25,0,AA105),5,FALSE),INT(LEN(VLOOKUP(M105,OFFSET(設定!$D$2:$I$25,0,AA105),5,FALSE))-1))),IF(VLOOKUP(M105,OFFSET(設定!$D$2:$I$25,0,AA105),5,FALSE)="-","-",INT(VLOOKUP(M105,OFFSET(設定!$D$2:$I$25,0,AA105),5,FALSE)))))</f>
        <v/>
      </c>
      <c r="AC105" s="1" t="str">
        <f ca="1">IF(M105="","",IF(AND(Z105,N105="〇"),IF(VLOOKUP(M105,OFFSET(設定!$D$2:$I$25,0,AA105),6,FALSE)="-","-",LEFT(VLOOKUP(M105,OFFSET(設定!$D$2:$I$25,0,AA105),6,FALSE),INT(LEN(VLOOKUP(M105,OFFSET(設定!$D$2:$I$25,0,AA105),6,FALSE))-1))),IF(VLOOKUP(M105,OFFSET(設定!$D$2:$I$25,0,AA105),6,FALSE)="-","-",INT(VLOOKUP(M105,OFFSET(設定!$D$2:$I$25,0,AA105),6,FALSE)))))</f>
        <v/>
      </c>
      <c r="AD105">
        <f t="shared" si="116"/>
        <v>2</v>
      </c>
      <c r="AE105" t="str">
        <f t="shared" ca="1" si="93"/>
        <v/>
      </c>
      <c r="AF105" t="str">
        <f t="shared" ca="1" si="94"/>
        <v/>
      </c>
      <c r="AG105" t="str">
        <f t="shared" ca="1" si="95"/>
        <v/>
      </c>
      <c r="AH105" t="b">
        <f t="shared" ca="1" si="96"/>
        <v>1</v>
      </c>
      <c r="AI105" t="b">
        <f t="shared" ca="1" si="97"/>
        <v>0</v>
      </c>
      <c r="AJ105" t="b">
        <f t="shared" ca="1" si="98"/>
        <v>0</v>
      </c>
      <c r="AK105" t="b">
        <f t="shared" si="99"/>
        <v>0</v>
      </c>
      <c r="AL105" t="b">
        <f t="shared" si="100"/>
        <v>0</v>
      </c>
      <c r="AM105" t="b">
        <f t="shared" si="101"/>
        <v>0</v>
      </c>
      <c r="AN105" t="b">
        <f t="shared" si="102"/>
        <v>0</v>
      </c>
      <c r="AO105" t="b">
        <f>IF(COUNTIF($D$6:D104,F105&amp;G105&amp;W105)&gt;0,AK105,FALSE)</f>
        <v>0</v>
      </c>
      <c r="AP105" t="b">
        <f t="shared" ca="1" si="117"/>
        <v>0</v>
      </c>
      <c r="AQ105" t="b">
        <f t="shared" si="103"/>
        <v>0</v>
      </c>
      <c r="AR105" t="b">
        <f t="shared" si="104"/>
        <v>0</v>
      </c>
      <c r="AS105" t="b">
        <f t="shared" ca="1" si="105"/>
        <v>0</v>
      </c>
      <c r="AT105" t="b">
        <f t="shared" ca="1" si="106"/>
        <v>0</v>
      </c>
      <c r="AU105" t="b">
        <f ca="1">IF(COUNTIF(設定!$B$6:$B$11,SUMIF($B$6:B104,G105&amp;W105,$C$6:C104)+IF(AI105,10,IF(AJ105,1,0)))=1,FALSE,AK105)</f>
        <v>0</v>
      </c>
      <c r="AV105" t="b">
        <f t="shared" ca="1" si="107"/>
        <v>0</v>
      </c>
      <c r="AW105" t="b">
        <f t="shared" ca="1" si="108"/>
        <v>0</v>
      </c>
      <c r="AX105" t="b">
        <f t="shared" si="109"/>
        <v>0</v>
      </c>
      <c r="AY105" t="b">
        <f t="shared" si="110"/>
        <v>0</v>
      </c>
      <c r="AZ105" t="b">
        <f t="shared" si="111"/>
        <v>0</v>
      </c>
      <c r="BA105" t="b">
        <f>IF(AND(設定!$B$2&lt;=T105,T105&lt;=設定!$B$3),FALSE,AK105)</f>
        <v>0</v>
      </c>
      <c r="BC105">
        <f t="shared" ca="1" si="112"/>
        <v>0</v>
      </c>
      <c r="BD105">
        <f t="shared" si="118"/>
        <v>100</v>
      </c>
      <c r="BE105" t="str">
        <f t="shared" si="113"/>
        <v/>
      </c>
      <c r="BF105">
        <f>IF(BG105&lt;&gt;"",MAX($BF$6:BF104)+1,0)</f>
        <v>0</v>
      </c>
      <c r="BG105" t="str">
        <f>IF(BE105&lt;&gt;"",IF(COUNTIF($BE$6:BE104,BE105)&gt;0,"",BE105),"")</f>
        <v/>
      </c>
      <c r="BH105" t="str">
        <f t="shared" si="114"/>
        <v/>
      </c>
      <c r="BI105">
        <f>IF(BJ105&lt;&gt;"",MAX($BI$6:BI104)+1,0)</f>
        <v>0</v>
      </c>
      <c r="BJ105" t="str">
        <f>IF(BH105&lt;&gt;"",IF(COUNTIF($BE$6:BH104,BH105)&gt;0,"",BH105),"")</f>
        <v/>
      </c>
    </row>
    <row r="106" spans="1:62" ht="16.5" customHeight="1">
      <c r="A106" t="str">
        <f t="shared" si="85"/>
        <v/>
      </c>
      <c r="B106" t="str">
        <f t="shared" si="86"/>
        <v/>
      </c>
      <c r="C106">
        <f t="shared" ca="1" si="87"/>
        <v>0</v>
      </c>
      <c r="D106" t="str">
        <f t="shared" si="88"/>
        <v/>
      </c>
      <c r="E106">
        <f>IF(B106="",0,LARGE($E$5:E105,1)+1)</f>
        <v>0</v>
      </c>
      <c r="F106" s="44"/>
      <c r="G106" s="45"/>
      <c r="H106" s="7" t="str">
        <f>IF(AND(F106="",G106=""),"",VLOOKUP(学校情報!$B$5&amp;F106&amp;G106,選手データ!$A:$H,4,FALSE))</f>
        <v/>
      </c>
      <c r="I106" s="7" t="str">
        <f>IF(AND(F106="",G106=""),"",VLOOKUP(学校情報!$B$5&amp;F106&amp;G106,選手データ!$A:$H,5,FALSE))</f>
        <v/>
      </c>
      <c r="J106" s="8" t="str">
        <f>IF(AND(F106="",G106=""),"",VLOOKUP(学校情報!$B$5&amp;F106&amp;G106,選手データ!$A:$H,6,FALSE))</f>
        <v/>
      </c>
      <c r="K106" s="32" t="str">
        <f>IF(AND(F106="",G106=""),"",VLOOKUP(学校情報!$B$5&amp;F106&amp;G106,選手データ!$A:$H,8,FALSE))</f>
        <v/>
      </c>
      <c r="L106" s="7" t="str">
        <f>IF(AND(F106="",G106=""),"",VLOOKUP(学校情報!$B$5&amp;F106&amp;G106,選手データ!$A:$I,9,FALSE))</f>
        <v/>
      </c>
      <c r="M106" s="44"/>
      <c r="N106" s="46"/>
      <c r="O106" s="47"/>
      <c r="P106" s="7" t="str">
        <f t="shared" ca="1" si="89"/>
        <v/>
      </c>
      <c r="Q106" s="46"/>
      <c r="R106" s="48"/>
      <c r="S106" s="45"/>
      <c r="T106" s="49"/>
      <c r="U106" s="8" t="str">
        <f t="shared" ca="1" si="90"/>
        <v/>
      </c>
      <c r="V106" s="8" t="str">
        <f t="shared" si="91"/>
        <v/>
      </c>
      <c r="W106" s="4">
        <f t="shared" si="92"/>
        <v>0</v>
      </c>
      <c r="X106" t="b">
        <f ca="1">IF(M106="",FALSE,VLOOKUP(M106,OFFSET(設定!$D$2:$I$25,0,AA106),2,FALSE))</f>
        <v>0</v>
      </c>
      <c r="Y106" t="str">
        <f ca="1">IF(M106="","",VLOOKUP(M106,OFFSET(設定!$D$2:$I$25,0,AA106),3,FALSE))</f>
        <v/>
      </c>
      <c r="Z106" t="b">
        <f ca="1">IF(M106="",FALSE,VLOOKUP(M106,OFFSET(設定!$D$2:$I$25,0,AA106),4,FALSE))</f>
        <v>0</v>
      </c>
      <c r="AA106">
        <f t="shared" si="115"/>
        <v>7</v>
      </c>
      <c r="AB106" s="1" t="str">
        <f ca="1">IF(M106="","",IF(AND(Z106,N106="〇"),IF(VLOOKUP(M106,OFFSET(設定!$D$2:$I$25,0,AA106),5,FALSE)="-","-",LEFT(VLOOKUP(M106,OFFSET(設定!$D$2:$I$25,0,AA106),5,FALSE),INT(LEN(VLOOKUP(M106,OFFSET(設定!$D$2:$I$25,0,AA106),5,FALSE))-1))),IF(VLOOKUP(M106,OFFSET(設定!$D$2:$I$25,0,AA106),5,FALSE)="-","-",INT(VLOOKUP(M106,OFFSET(設定!$D$2:$I$25,0,AA106),5,FALSE)))))</f>
        <v/>
      </c>
      <c r="AC106" s="1" t="str">
        <f ca="1">IF(M106="","",IF(AND(Z106,N106="〇"),IF(VLOOKUP(M106,OFFSET(設定!$D$2:$I$25,0,AA106),6,FALSE)="-","-",LEFT(VLOOKUP(M106,OFFSET(設定!$D$2:$I$25,0,AA106),6,FALSE),INT(LEN(VLOOKUP(M106,OFFSET(設定!$D$2:$I$25,0,AA106),6,FALSE))-1))),IF(VLOOKUP(M106,OFFSET(設定!$D$2:$I$25,0,AA106),6,FALSE)="-","-",INT(VLOOKUP(M106,OFFSET(設定!$D$2:$I$25,0,AA106),6,FALSE)))))</f>
        <v/>
      </c>
      <c r="AD106">
        <f t="shared" si="116"/>
        <v>2</v>
      </c>
      <c r="AE106" t="str">
        <f t="shared" ca="1" si="93"/>
        <v/>
      </c>
      <c r="AF106" t="str">
        <f t="shared" ca="1" si="94"/>
        <v/>
      </c>
      <c r="AG106" t="str">
        <f t="shared" ca="1" si="95"/>
        <v/>
      </c>
      <c r="AH106" t="b">
        <f t="shared" ca="1" si="96"/>
        <v>1</v>
      </c>
      <c r="AI106" t="b">
        <f t="shared" ca="1" si="97"/>
        <v>0</v>
      </c>
      <c r="AJ106" t="b">
        <f t="shared" ca="1" si="98"/>
        <v>0</v>
      </c>
      <c r="AK106" t="b">
        <f t="shared" si="99"/>
        <v>0</v>
      </c>
      <c r="AL106" t="b">
        <f t="shared" si="100"/>
        <v>0</v>
      </c>
      <c r="AM106" t="b">
        <f t="shared" si="101"/>
        <v>0</v>
      </c>
      <c r="AN106" t="b">
        <f t="shared" si="102"/>
        <v>0</v>
      </c>
      <c r="AO106" t="b">
        <f>IF(COUNTIF($D$6:D105,F106&amp;G106&amp;W106)&gt;0,AK106,FALSE)</f>
        <v>0</v>
      </c>
      <c r="AP106" t="b">
        <f t="shared" ca="1" si="117"/>
        <v>0</v>
      </c>
      <c r="AQ106" t="b">
        <f t="shared" si="103"/>
        <v>0</v>
      </c>
      <c r="AR106" t="b">
        <f t="shared" si="104"/>
        <v>0</v>
      </c>
      <c r="AS106" t="b">
        <f t="shared" ca="1" si="105"/>
        <v>0</v>
      </c>
      <c r="AT106" t="b">
        <f t="shared" ca="1" si="106"/>
        <v>0</v>
      </c>
      <c r="AU106" t="b">
        <f ca="1">IF(COUNTIF(設定!$B$6:$B$11,SUMIF($B$6:B105,G106&amp;W106,$C$6:C105)+IF(AI106,10,IF(AJ106,1,0)))=1,FALSE,AK106)</f>
        <v>0</v>
      </c>
      <c r="AV106" t="b">
        <f t="shared" ca="1" si="107"/>
        <v>0</v>
      </c>
      <c r="AW106" t="b">
        <f t="shared" ca="1" si="108"/>
        <v>0</v>
      </c>
      <c r="AX106" t="b">
        <f t="shared" si="109"/>
        <v>0</v>
      </c>
      <c r="AY106" t="b">
        <f t="shared" si="110"/>
        <v>0</v>
      </c>
      <c r="AZ106" t="b">
        <f t="shared" si="111"/>
        <v>0</v>
      </c>
      <c r="BA106" t="b">
        <f>IF(AND(設定!$B$2&lt;=T106,T106&lt;=設定!$B$3),FALSE,AK106)</f>
        <v>0</v>
      </c>
      <c r="BC106">
        <f t="shared" ca="1" si="112"/>
        <v>0</v>
      </c>
      <c r="BD106">
        <f t="shared" si="118"/>
        <v>101</v>
      </c>
      <c r="BE106" t="str">
        <f t="shared" si="113"/>
        <v/>
      </c>
      <c r="BF106">
        <f>IF(BG106&lt;&gt;"",MAX($BF$6:BF105)+1,0)</f>
        <v>0</v>
      </c>
      <c r="BG106" t="str">
        <f>IF(BE106&lt;&gt;"",IF(COUNTIF($BE$6:BE105,BE106)&gt;0,"",BE106),"")</f>
        <v/>
      </c>
      <c r="BH106" t="str">
        <f t="shared" si="114"/>
        <v/>
      </c>
      <c r="BI106">
        <f>IF(BJ106&lt;&gt;"",MAX($BI$6:BI105)+1,0)</f>
        <v>0</v>
      </c>
      <c r="BJ106" t="str">
        <f>IF(BH106&lt;&gt;"",IF(COUNTIF($BE$6:BH105,BH106)&gt;0,"",BH106),"")</f>
        <v/>
      </c>
    </row>
    <row r="107" spans="1:62" ht="16.5" customHeight="1">
      <c r="A107" t="str">
        <f t="shared" si="85"/>
        <v/>
      </c>
      <c r="B107" t="str">
        <f t="shared" si="86"/>
        <v/>
      </c>
      <c r="C107">
        <f t="shared" ca="1" si="87"/>
        <v>0</v>
      </c>
      <c r="D107" t="str">
        <f t="shared" si="88"/>
        <v/>
      </c>
      <c r="E107">
        <f>IF(B107="",0,LARGE($E$5:E106,1)+1)</f>
        <v>0</v>
      </c>
      <c r="F107" s="44"/>
      <c r="G107" s="45"/>
      <c r="H107" s="7" t="str">
        <f>IF(AND(F107="",G107=""),"",VLOOKUP(学校情報!$B$5&amp;F107&amp;G107,選手データ!$A:$H,4,FALSE))</f>
        <v/>
      </c>
      <c r="I107" s="7" t="str">
        <f>IF(AND(F107="",G107=""),"",VLOOKUP(学校情報!$B$5&amp;F107&amp;G107,選手データ!$A:$H,5,FALSE))</f>
        <v/>
      </c>
      <c r="J107" s="8" t="str">
        <f>IF(AND(F107="",G107=""),"",VLOOKUP(学校情報!$B$5&amp;F107&amp;G107,選手データ!$A:$H,6,FALSE))</f>
        <v/>
      </c>
      <c r="K107" s="32" t="str">
        <f>IF(AND(F107="",G107=""),"",VLOOKUP(学校情報!$B$5&amp;F107&amp;G107,選手データ!$A:$H,8,FALSE))</f>
        <v/>
      </c>
      <c r="L107" s="7" t="str">
        <f>IF(AND(F107="",G107=""),"",VLOOKUP(学校情報!$B$5&amp;F107&amp;G107,選手データ!$A:$I,9,FALSE))</f>
        <v/>
      </c>
      <c r="M107" s="44"/>
      <c r="N107" s="46"/>
      <c r="O107" s="47"/>
      <c r="P107" s="7" t="str">
        <f t="shared" ca="1" si="89"/>
        <v/>
      </c>
      <c r="Q107" s="46"/>
      <c r="R107" s="48"/>
      <c r="S107" s="45"/>
      <c r="T107" s="49"/>
      <c r="U107" s="8" t="str">
        <f t="shared" ca="1" si="90"/>
        <v/>
      </c>
      <c r="V107" s="8" t="str">
        <f t="shared" si="91"/>
        <v/>
      </c>
      <c r="W107" s="4">
        <f t="shared" si="92"/>
        <v>0</v>
      </c>
      <c r="X107" t="b">
        <f ca="1">IF(M107="",FALSE,VLOOKUP(M107,OFFSET(設定!$D$2:$I$25,0,AA107),2,FALSE))</f>
        <v>0</v>
      </c>
      <c r="Y107" t="str">
        <f ca="1">IF(M107="","",VLOOKUP(M107,OFFSET(設定!$D$2:$I$25,0,AA107),3,FALSE))</f>
        <v/>
      </c>
      <c r="Z107" t="b">
        <f ca="1">IF(M107="",FALSE,VLOOKUP(M107,OFFSET(設定!$D$2:$I$25,0,AA107),4,FALSE))</f>
        <v>0</v>
      </c>
      <c r="AA107">
        <f t="shared" si="115"/>
        <v>7</v>
      </c>
      <c r="AB107" s="1" t="str">
        <f ca="1">IF(M107="","",IF(AND(Z107,N107="〇"),IF(VLOOKUP(M107,OFFSET(設定!$D$2:$I$25,0,AA107),5,FALSE)="-","-",LEFT(VLOOKUP(M107,OFFSET(設定!$D$2:$I$25,0,AA107),5,FALSE),INT(LEN(VLOOKUP(M107,OFFSET(設定!$D$2:$I$25,0,AA107),5,FALSE))-1))),IF(VLOOKUP(M107,OFFSET(設定!$D$2:$I$25,0,AA107),5,FALSE)="-","-",INT(VLOOKUP(M107,OFFSET(設定!$D$2:$I$25,0,AA107),5,FALSE)))))</f>
        <v/>
      </c>
      <c r="AC107" s="1" t="str">
        <f ca="1">IF(M107="","",IF(AND(Z107,N107="〇"),IF(VLOOKUP(M107,OFFSET(設定!$D$2:$I$25,0,AA107),6,FALSE)="-","-",LEFT(VLOOKUP(M107,OFFSET(設定!$D$2:$I$25,0,AA107),6,FALSE),INT(LEN(VLOOKUP(M107,OFFSET(設定!$D$2:$I$25,0,AA107),6,FALSE))-1))),IF(VLOOKUP(M107,OFFSET(設定!$D$2:$I$25,0,AA107),6,FALSE)="-","-",INT(VLOOKUP(M107,OFFSET(設定!$D$2:$I$25,0,AA107),6,FALSE)))))</f>
        <v/>
      </c>
      <c r="AD107">
        <f t="shared" si="116"/>
        <v>2</v>
      </c>
      <c r="AE107" t="str">
        <f t="shared" ca="1" si="93"/>
        <v/>
      </c>
      <c r="AF107" t="str">
        <f t="shared" ca="1" si="94"/>
        <v/>
      </c>
      <c r="AG107" t="str">
        <f t="shared" ca="1" si="95"/>
        <v/>
      </c>
      <c r="AH107" t="b">
        <f t="shared" ca="1" si="96"/>
        <v>1</v>
      </c>
      <c r="AI107" t="b">
        <f t="shared" ca="1" si="97"/>
        <v>0</v>
      </c>
      <c r="AJ107" t="b">
        <f t="shared" ca="1" si="98"/>
        <v>0</v>
      </c>
      <c r="AK107" t="b">
        <f t="shared" si="99"/>
        <v>0</v>
      </c>
      <c r="AL107" t="b">
        <f t="shared" si="100"/>
        <v>0</v>
      </c>
      <c r="AM107" t="b">
        <f t="shared" si="101"/>
        <v>0</v>
      </c>
      <c r="AN107" t="b">
        <f t="shared" si="102"/>
        <v>0</v>
      </c>
      <c r="AO107" t="b">
        <f>IF(COUNTIF($D$6:D106,F107&amp;G107&amp;W107)&gt;0,AK107,FALSE)</f>
        <v>0</v>
      </c>
      <c r="AP107" t="b">
        <f t="shared" ca="1" si="117"/>
        <v>0</v>
      </c>
      <c r="AQ107" t="b">
        <f t="shared" si="103"/>
        <v>0</v>
      </c>
      <c r="AR107" t="b">
        <f t="shared" si="104"/>
        <v>0</v>
      </c>
      <c r="AS107" t="b">
        <f t="shared" ca="1" si="105"/>
        <v>0</v>
      </c>
      <c r="AT107" t="b">
        <f t="shared" ca="1" si="106"/>
        <v>0</v>
      </c>
      <c r="AU107" t="b">
        <f ca="1">IF(COUNTIF(設定!$B$6:$B$11,SUMIF($B$6:B106,G107&amp;W107,$C$6:C106)+IF(AI107,10,IF(AJ107,1,0)))=1,FALSE,AK107)</f>
        <v>0</v>
      </c>
      <c r="AV107" t="b">
        <f t="shared" ca="1" si="107"/>
        <v>0</v>
      </c>
      <c r="AW107" t="b">
        <f t="shared" ca="1" si="108"/>
        <v>0</v>
      </c>
      <c r="AX107" t="b">
        <f t="shared" si="109"/>
        <v>0</v>
      </c>
      <c r="AY107" t="b">
        <f t="shared" si="110"/>
        <v>0</v>
      </c>
      <c r="AZ107" t="b">
        <f t="shared" si="111"/>
        <v>0</v>
      </c>
      <c r="BA107" t="b">
        <f>IF(AND(設定!$B$2&lt;=T107,T107&lt;=設定!$B$3),FALSE,AK107)</f>
        <v>0</v>
      </c>
      <c r="BC107">
        <f t="shared" ca="1" si="112"/>
        <v>0</v>
      </c>
      <c r="BD107">
        <f t="shared" si="118"/>
        <v>102</v>
      </c>
      <c r="BE107" t="str">
        <f t="shared" si="113"/>
        <v/>
      </c>
      <c r="BF107">
        <f>IF(BG107&lt;&gt;"",MAX($BF$6:BF106)+1,0)</f>
        <v>0</v>
      </c>
      <c r="BG107" t="str">
        <f>IF(BE107&lt;&gt;"",IF(COUNTIF($BE$6:BE106,BE107)&gt;0,"",BE107),"")</f>
        <v/>
      </c>
      <c r="BH107" t="str">
        <f t="shared" si="114"/>
        <v/>
      </c>
      <c r="BI107">
        <f>IF(BJ107&lt;&gt;"",MAX($BI$6:BI106)+1,0)</f>
        <v>0</v>
      </c>
      <c r="BJ107" t="str">
        <f>IF(BH107&lt;&gt;"",IF(COUNTIF($BE$6:BH106,BH107)&gt;0,"",BH107),"")</f>
        <v/>
      </c>
    </row>
    <row r="108" spans="1:62" ht="16.5" customHeight="1">
      <c r="A108" t="str">
        <f t="shared" si="85"/>
        <v/>
      </c>
      <c r="B108" t="str">
        <f t="shared" si="86"/>
        <v/>
      </c>
      <c r="C108">
        <f t="shared" ca="1" si="87"/>
        <v>0</v>
      </c>
      <c r="D108" t="str">
        <f t="shared" si="88"/>
        <v/>
      </c>
      <c r="E108">
        <f>IF(B108="",0,LARGE($E$5:E107,1)+1)</f>
        <v>0</v>
      </c>
      <c r="F108" s="44"/>
      <c r="G108" s="45"/>
      <c r="H108" s="7" t="str">
        <f>IF(AND(F108="",G108=""),"",VLOOKUP(学校情報!$B$5&amp;F108&amp;G108,選手データ!$A:$H,4,FALSE))</f>
        <v/>
      </c>
      <c r="I108" s="7" t="str">
        <f>IF(AND(F108="",G108=""),"",VLOOKUP(学校情報!$B$5&amp;F108&amp;G108,選手データ!$A:$H,5,FALSE))</f>
        <v/>
      </c>
      <c r="J108" s="8" t="str">
        <f>IF(AND(F108="",G108=""),"",VLOOKUP(学校情報!$B$5&amp;F108&amp;G108,選手データ!$A:$H,6,FALSE))</f>
        <v/>
      </c>
      <c r="K108" s="32" t="str">
        <f>IF(AND(F108="",G108=""),"",VLOOKUP(学校情報!$B$5&amp;F108&amp;G108,選手データ!$A:$H,8,FALSE))</f>
        <v/>
      </c>
      <c r="L108" s="7" t="str">
        <f>IF(AND(F108="",G108=""),"",VLOOKUP(学校情報!$B$5&amp;F108&amp;G108,選手データ!$A:$I,9,FALSE))</f>
        <v/>
      </c>
      <c r="M108" s="44"/>
      <c r="N108" s="46"/>
      <c r="O108" s="47"/>
      <c r="P108" s="7" t="str">
        <f t="shared" ca="1" si="89"/>
        <v/>
      </c>
      <c r="Q108" s="46"/>
      <c r="R108" s="48"/>
      <c r="S108" s="45"/>
      <c r="T108" s="49"/>
      <c r="U108" s="8" t="str">
        <f t="shared" ca="1" si="90"/>
        <v/>
      </c>
      <c r="V108" s="8" t="str">
        <f t="shared" si="91"/>
        <v/>
      </c>
      <c r="W108" s="4">
        <f t="shared" si="92"/>
        <v>0</v>
      </c>
      <c r="X108" t="b">
        <f ca="1">IF(M108="",FALSE,VLOOKUP(M108,OFFSET(設定!$D$2:$I$25,0,AA108),2,FALSE))</f>
        <v>0</v>
      </c>
      <c r="Y108" t="str">
        <f ca="1">IF(M108="","",VLOOKUP(M108,OFFSET(設定!$D$2:$I$25,0,AA108),3,FALSE))</f>
        <v/>
      </c>
      <c r="Z108" t="b">
        <f ca="1">IF(M108="",FALSE,VLOOKUP(M108,OFFSET(設定!$D$2:$I$25,0,AA108),4,FALSE))</f>
        <v>0</v>
      </c>
      <c r="AA108">
        <f t="shared" si="115"/>
        <v>7</v>
      </c>
      <c r="AB108" s="1" t="str">
        <f ca="1">IF(M108="","",IF(AND(Z108,N108="〇"),IF(VLOOKUP(M108,OFFSET(設定!$D$2:$I$25,0,AA108),5,FALSE)="-","-",LEFT(VLOOKUP(M108,OFFSET(設定!$D$2:$I$25,0,AA108),5,FALSE),INT(LEN(VLOOKUP(M108,OFFSET(設定!$D$2:$I$25,0,AA108),5,FALSE))-1))),IF(VLOOKUP(M108,OFFSET(設定!$D$2:$I$25,0,AA108),5,FALSE)="-","-",INT(VLOOKUP(M108,OFFSET(設定!$D$2:$I$25,0,AA108),5,FALSE)))))</f>
        <v/>
      </c>
      <c r="AC108" s="1" t="str">
        <f ca="1">IF(M108="","",IF(AND(Z108,N108="〇"),IF(VLOOKUP(M108,OFFSET(設定!$D$2:$I$25,0,AA108),6,FALSE)="-","-",LEFT(VLOOKUP(M108,OFFSET(設定!$D$2:$I$25,0,AA108),6,FALSE),INT(LEN(VLOOKUP(M108,OFFSET(設定!$D$2:$I$25,0,AA108),6,FALSE))-1))),IF(VLOOKUP(M108,OFFSET(設定!$D$2:$I$25,0,AA108),6,FALSE)="-","-",INT(VLOOKUP(M108,OFFSET(設定!$D$2:$I$25,0,AA108),6,FALSE)))))</f>
        <v/>
      </c>
      <c r="AD108">
        <f t="shared" si="116"/>
        <v>2</v>
      </c>
      <c r="AE108" t="str">
        <f t="shared" ca="1" si="93"/>
        <v/>
      </c>
      <c r="AF108" t="str">
        <f t="shared" ca="1" si="94"/>
        <v/>
      </c>
      <c r="AG108" t="str">
        <f t="shared" ca="1" si="95"/>
        <v/>
      </c>
      <c r="AH108" t="b">
        <f t="shared" ca="1" si="96"/>
        <v>1</v>
      </c>
      <c r="AI108" t="b">
        <f t="shared" ca="1" si="97"/>
        <v>0</v>
      </c>
      <c r="AJ108" t="b">
        <f t="shared" ca="1" si="98"/>
        <v>0</v>
      </c>
      <c r="AK108" t="b">
        <f t="shared" si="99"/>
        <v>0</v>
      </c>
      <c r="AL108" t="b">
        <f t="shared" si="100"/>
        <v>0</v>
      </c>
      <c r="AM108" t="b">
        <f t="shared" si="101"/>
        <v>0</v>
      </c>
      <c r="AN108" t="b">
        <f t="shared" si="102"/>
        <v>0</v>
      </c>
      <c r="AO108" t="b">
        <f>IF(COUNTIF($D$6:D107,F108&amp;G108&amp;W108)&gt;0,AK108,FALSE)</f>
        <v>0</v>
      </c>
      <c r="AP108" t="b">
        <f t="shared" ca="1" si="117"/>
        <v>0</v>
      </c>
      <c r="AQ108" t="b">
        <f t="shared" si="103"/>
        <v>0</v>
      </c>
      <c r="AR108" t="b">
        <f t="shared" si="104"/>
        <v>0</v>
      </c>
      <c r="AS108" t="b">
        <f t="shared" ca="1" si="105"/>
        <v>0</v>
      </c>
      <c r="AT108" t="b">
        <f t="shared" ca="1" si="106"/>
        <v>0</v>
      </c>
      <c r="AU108" t="b">
        <f ca="1">IF(COUNTIF(設定!$B$6:$B$11,SUMIF($B$6:B107,G108&amp;W108,$C$6:C107)+IF(AI108,10,IF(AJ108,1,0)))=1,FALSE,AK108)</f>
        <v>0</v>
      </c>
      <c r="AV108" t="b">
        <f t="shared" ca="1" si="107"/>
        <v>0</v>
      </c>
      <c r="AW108" t="b">
        <f t="shared" ca="1" si="108"/>
        <v>0</v>
      </c>
      <c r="AX108" t="b">
        <f t="shared" si="109"/>
        <v>0</v>
      </c>
      <c r="AY108" t="b">
        <f t="shared" si="110"/>
        <v>0</v>
      </c>
      <c r="AZ108" t="b">
        <f t="shared" si="111"/>
        <v>0</v>
      </c>
      <c r="BA108" t="b">
        <f>IF(AND(設定!$B$2&lt;=T108,T108&lt;=設定!$B$3),FALSE,AK108)</f>
        <v>0</v>
      </c>
      <c r="BC108">
        <f t="shared" ca="1" si="112"/>
        <v>0</v>
      </c>
      <c r="BD108">
        <f t="shared" si="118"/>
        <v>103</v>
      </c>
      <c r="BE108" t="str">
        <f t="shared" si="113"/>
        <v/>
      </c>
      <c r="BF108">
        <f>IF(BG108&lt;&gt;"",MAX($BF$6:BF107)+1,0)</f>
        <v>0</v>
      </c>
      <c r="BG108" t="str">
        <f>IF(BE108&lt;&gt;"",IF(COUNTIF($BE$6:BE107,BE108)&gt;0,"",BE108),"")</f>
        <v/>
      </c>
      <c r="BH108" t="str">
        <f t="shared" si="114"/>
        <v/>
      </c>
      <c r="BI108">
        <f>IF(BJ108&lt;&gt;"",MAX($BI$6:BI107)+1,0)</f>
        <v>0</v>
      </c>
      <c r="BJ108" t="str">
        <f>IF(BH108&lt;&gt;"",IF(COUNTIF($BE$6:BH107,BH108)&gt;0,"",BH108),"")</f>
        <v/>
      </c>
    </row>
    <row r="109" spans="1:62" ht="16.5" customHeight="1">
      <c r="A109" t="str">
        <f t="shared" si="85"/>
        <v/>
      </c>
      <c r="B109" t="str">
        <f t="shared" si="86"/>
        <v/>
      </c>
      <c r="C109">
        <f t="shared" ca="1" si="87"/>
        <v>0</v>
      </c>
      <c r="D109" t="str">
        <f t="shared" si="88"/>
        <v/>
      </c>
      <c r="E109">
        <f>IF(B109="",0,LARGE($E$5:E108,1)+1)</f>
        <v>0</v>
      </c>
      <c r="F109" s="44"/>
      <c r="G109" s="45"/>
      <c r="H109" s="7" t="str">
        <f>IF(AND(F109="",G109=""),"",VLOOKUP(学校情報!$B$5&amp;F109&amp;G109,選手データ!$A:$H,4,FALSE))</f>
        <v/>
      </c>
      <c r="I109" s="7" t="str">
        <f>IF(AND(F109="",G109=""),"",VLOOKUP(学校情報!$B$5&amp;F109&amp;G109,選手データ!$A:$H,5,FALSE))</f>
        <v/>
      </c>
      <c r="J109" s="8" t="str">
        <f>IF(AND(F109="",G109=""),"",VLOOKUP(学校情報!$B$5&amp;F109&amp;G109,選手データ!$A:$H,6,FALSE))</f>
        <v/>
      </c>
      <c r="K109" s="32" t="str">
        <f>IF(AND(F109="",G109=""),"",VLOOKUP(学校情報!$B$5&amp;F109&amp;G109,選手データ!$A:$H,8,FALSE))</f>
        <v/>
      </c>
      <c r="L109" s="7" t="str">
        <f>IF(AND(F109="",G109=""),"",VLOOKUP(学校情報!$B$5&amp;F109&amp;G109,選手データ!$A:$I,9,FALSE))</f>
        <v/>
      </c>
      <c r="M109" s="44"/>
      <c r="N109" s="46"/>
      <c r="O109" s="47"/>
      <c r="P109" s="7" t="str">
        <f t="shared" ca="1" si="89"/>
        <v/>
      </c>
      <c r="Q109" s="46"/>
      <c r="R109" s="48"/>
      <c r="S109" s="45"/>
      <c r="T109" s="49"/>
      <c r="U109" s="8" t="str">
        <f t="shared" ca="1" si="90"/>
        <v/>
      </c>
      <c r="V109" s="8" t="str">
        <f t="shared" si="91"/>
        <v/>
      </c>
      <c r="W109" s="4">
        <f t="shared" si="92"/>
        <v>0</v>
      </c>
      <c r="X109" t="b">
        <f ca="1">IF(M109="",FALSE,VLOOKUP(M109,OFFSET(設定!$D$2:$I$25,0,AA109),2,FALSE))</f>
        <v>0</v>
      </c>
      <c r="Y109" t="str">
        <f ca="1">IF(M109="","",VLOOKUP(M109,OFFSET(設定!$D$2:$I$25,0,AA109),3,FALSE))</f>
        <v/>
      </c>
      <c r="Z109" t="b">
        <f ca="1">IF(M109="",FALSE,VLOOKUP(M109,OFFSET(設定!$D$2:$I$25,0,AA109),4,FALSE))</f>
        <v>0</v>
      </c>
      <c r="AA109">
        <f t="shared" si="115"/>
        <v>7</v>
      </c>
      <c r="AB109" s="1" t="str">
        <f ca="1">IF(M109="","",IF(AND(Z109,N109="〇"),IF(VLOOKUP(M109,OFFSET(設定!$D$2:$I$25,0,AA109),5,FALSE)="-","-",LEFT(VLOOKUP(M109,OFFSET(設定!$D$2:$I$25,0,AA109),5,FALSE),INT(LEN(VLOOKUP(M109,OFFSET(設定!$D$2:$I$25,0,AA109),5,FALSE))-1))),IF(VLOOKUP(M109,OFFSET(設定!$D$2:$I$25,0,AA109),5,FALSE)="-","-",INT(VLOOKUP(M109,OFFSET(設定!$D$2:$I$25,0,AA109),5,FALSE)))))</f>
        <v/>
      </c>
      <c r="AC109" s="1" t="str">
        <f ca="1">IF(M109="","",IF(AND(Z109,N109="〇"),IF(VLOOKUP(M109,OFFSET(設定!$D$2:$I$25,0,AA109),6,FALSE)="-","-",LEFT(VLOOKUP(M109,OFFSET(設定!$D$2:$I$25,0,AA109),6,FALSE),INT(LEN(VLOOKUP(M109,OFFSET(設定!$D$2:$I$25,0,AA109),6,FALSE))-1))),IF(VLOOKUP(M109,OFFSET(設定!$D$2:$I$25,0,AA109),6,FALSE)="-","-",INT(VLOOKUP(M109,OFFSET(設定!$D$2:$I$25,0,AA109),6,FALSE)))))</f>
        <v/>
      </c>
      <c r="AD109">
        <f t="shared" si="116"/>
        <v>2</v>
      </c>
      <c r="AE109" t="str">
        <f t="shared" ca="1" si="93"/>
        <v/>
      </c>
      <c r="AF109" t="str">
        <f t="shared" ca="1" si="94"/>
        <v/>
      </c>
      <c r="AG109" t="str">
        <f t="shared" ca="1" si="95"/>
        <v/>
      </c>
      <c r="AH109" t="b">
        <f t="shared" ca="1" si="96"/>
        <v>1</v>
      </c>
      <c r="AI109" t="b">
        <f t="shared" ca="1" si="97"/>
        <v>0</v>
      </c>
      <c r="AJ109" t="b">
        <f t="shared" ca="1" si="98"/>
        <v>0</v>
      </c>
      <c r="AK109" t="b">
        <f t="shared" si="99"/>
        <v>0</v>
      </c>
      <c r="AL109" t="b">
        <f t="shared" si="100"/>
        <v>0</v>
      </c>
      <c r="AM109" t="b">
        <f t="shared" si="101"/>
        <v>0</v>
      </c>
      <c r="AN109" t="b">
        <f t="shared" si="102"/>
        <v>0</v>
      </c>
      <c r="AO109" t="b">
        <f>IF(COUNTIF($D$6:D108,F109&amp;G109&amp;W109)&gt;0,AK109,FALSE)</f>
        <v>0</v>
      </c>
      <c r="AP109" t="b">
        <f t="shared" ca="1" si="117"/>
        <v>0</v>
      </c>
      <c r="AQ109" t="b">
        <f t="shared" si="103"/>
        <v>0</v>
      </c>
      <c r="AR109" t="b">
        <f t="shared" si="104"/>
        <v>0</v>
      </c>
      <c r="AS109" t="b">
        <f t="shared" ca="1" si="105"/>
        <v>0</v>
      </c>
      <c r="AT109" t="b">
        <f t="shared" ca="1" si="106"/>
        <v>0</v>
      </c>
      <c r="AU109" t="b">
        <f ca="1">IF(COUNTIF(設定!$B$6:$B$11,SUMIF($B$6:B108,G109&amp;W109,$C$6:C108)+IF(AI109,10,IF(AJ109,1,0)))=1,FALSE,AK109)</f>
        <v>0</v>
      </c>
      <c r="AV109" t="b">
        <f t="shared" ca="1" si="107"/>
        <v>0</v>
      </c>
      <c r="AW109" t="b">
        <f t="shared" ca="1" si="108"/>
        <v>0</v>
      </c>
      <c r="AX109" t="b">
        <f t="shared" si="109"/>
        <v>0</v>
      </c>
      <c r="AY109" t="b">
        <f t="shared" si="110"/>
        <v>0</v>
      </c>
      <c r="AZ109" t="b">
        <f t="shared" si="111"/>
        <v>0</v>
      </c>
      <c r="BA109" t="b">
        <f>IF(AND(設定!$B$2&lt;=T109,T109&lt;=設定!$B$3),FALSE,AK109)</f>
        <v>0</v>
      </c>
      <c r="BC109">
        <f t="shared" ca="1" si="112"/>
        <v>0</v>
      </c>
      <c r="BD109">
        <f t="shared" si="118"/>
        <v>104</v>
      </c>
      <c r="BE109" t="str">
        <f t="shared" si="113"/>
        <v/>
      </c>
      <c r="BF109">
        <f>IF(BG109&lt;&gt;"",MAX($BF$6:BF108)+1,0)</f>
        <v>0</v>
      </c>
      <c r="BG109" t="str">
        <f>IF(BE109&lt;&gt;"",IF(COUNTIF($BE$6:BE108,BE109)&gt;0,"",BE109),"")</f>
        <v/>
      </c>
      <c r="BH109" t="str">
        <f t="shared" si="114"/>
        <v/>
      </c>
      <c r="BI109">
        <f>IF(BJ109&lt;&gt;"",MAX($BI$6:BI108)+1,0)</f>
        <v>0</v>
      </c>
      <c r="BJ109" t="str">
        <f>IF(BH109&lt;&gt;"",IF(COUNTIF($BE$6:BH108,BH109)&gt;0,"",BH109),"")</f>
        <v/>
      </c>
    </row>
    <row r="110" spans="1:62" ht="16.5" customHeight="1">
      <c r="A110" t="str">
        <f t="shared" si="85"/>
        <v/>
      </c>
      <c r="B110" t="str">
        <f t="shared" si="86"/>
        <v/>
      </c>
      <c r="C110">
        <f t="shared" ca="1" si="87"/>
        <v>0</v>
      </c>
      <c r="D110" t="str">
        <f t="shared" si="88"/>
        <v/>
      </c>
      <c r="E110">
        <f>IF(B110="",0,LARGE($E$5:E109,1)+1)</f>
        <v>0</v>
      </c>
      <c r="F110" s="44"/>
      <c r="G110" s="45"/>
      <c r="H110" s="7" t="str">
        <f>IF(AND(F110="",G110=""),"",VLOOKUP(学校情報!$B$5&amp;F110&amp;G110,選手データ!$A:$H,4,FALSE))</f>
        <v/>
      </c>
      <c r="I110" s="7" t="str">
        <f>IF(AND(F110="",G110=""),"",VLOOKUP(学校情報!$B$5&amp;F110&amp;G110,選手データ!$A:$H,5,FALSE))</f>
        <v/>
      </c>
      <c r="J110" s="8" t="str">
        <f>IF(AND(F110="",G110=""),"",VLOOKUP(学校情報!$B$5&amp;F110&amp;G110,選手データ!$A:$H,6,FALSE))</f>
        <v/>
      </c>
      <c r="K110" s="32" t="str">
        <f>IF(AND(F110="",G110=""),"",VLOOKUP(学校情報!$B$5&amp;F110&amp;G110,選手データ!$A:$H,8,FALSE))</f>
        <v/>
      </c>
      <c r="L110" s="7" t="str">
        <f>IF(AND(F110="",G110=""),"",VLOOKUP(学校情報!$B$5&amp;F110&amp;G110,選手データ!$A:$I,9,FALSE))</f>
        <v/>
      </c>
      <c r="M110" s="44"/>
      <c r="N110" s="46"/>
      <c r="O110" s="47"/>
      <c r="P110" s="7" t="str">
        <f t="shared" ca="1" si="89"/>
        <v/>
      </c>
      <c r="Q110" s="46"/>
      <c r="R110" s="48"/>
      <c r="S110" s="45"/>
      <c r="T110" s="49"/>
      <c r="U110" s="8" t="str">
        <f t="shared" ca="1" si="90"/>
        <v/>
      </c>
      <c r="V110" s="8" t="str">
        <f t="shared" si="91"/>
        <v/>
      </c>
      <c r="W110" s="4">
        <f t="shared" si="92"/>
        <v>0</v>
      </c>
      <c r="X110" t="b">
        <f ca="1">IF(M110="",FALSE,VLOOKUP(M110,OFFSET(設定!$D$2:$I$25,0,AA110),2,FALSE))</f>
        <v>0</v>
      </c>
      <c r="Y110" t="str">
        <f ca="1">IF(M110="","",VLOOKUP(M110,OFFSET(設定!$D$2:$I$25,0,AA110),3,FALSE))</f>
        <v/>
      </c>
      <c r="Z110" t="b">
        <f ca="1">IF(M110="",FALSE,VLOOKUP(M110,OFFSET(設定!$D$2:$I$25,0,AA110),4,FALSE))</f>
        <v>0</v>
      </c>
      <c r="AA110">
        <f t="shared" si="115"/>
        <v>7</v>
      </c>
      <c r="AB110" s="1" t="str">
        <f ca="1">IF(M110="","",IF(AND(Z110,N110="〇"),IF(VLOOKUP(M110,OFFSET(設定!$D$2:$I$25,0,AA110),5,FALSE)="-","-",LEFT(VLOOKUP(M110,OFFSET(設定!$D$2:$I$25,0,AA110),5,FALSE),INT(LEN(VLOOKUP(M110,OFFSET(設定!$D$2:$I$25,0,AA110),5,FALSE))-1))),IF(VLOOKUP(M110,OFFSET(設定!$D$2:$I$25,0,AA110),5,FALSE)="-","-",INT(VLOOKUP(M110,OFFSET(設定!$D$2:$I$25,0,AA110),5,FALSE)))))</f>
        <v/>
      </c>
      <c r="AC110" s="1" t="str">
        <f ca="1">IF(M110="","",IF(AND(Z110,N110="〇"),IF(VLOOKUP(M110,OFFSET(設定!$D$2:$I$25,0,AA110),6,FALSE)="-","-",LEFT(VLOOKUP(M110,OFFSET(設定!$D$2:$I$25,0,AA110),6,FALSE),INT(LEN(VLOOKUP(M110,OFFSET(設定!$D$2:$I$25,0,AA110),6,FALSE))-1))),IF(VLOOKUP(M110,OFFSET(設定!$D$2:$I$25,0,AA110),6,FALSE)="-","-",INT(VLOOKUP(M110,OFFSET(設定!$D$2:$I$25,0,AA110),6,FALSE)))))</f>
        <v/>
      </c>
      <c r="AD110">
        <f t="shared" si="116"/>
        <v>2</v>
      </c>
      <c r="AE110" t="str">
        <f t="shared" ca="1" si="93"/>
        <v/>
      </c>
      <c r="AF110" t="str">
        <f t="shared" ca="1" si="94"/>
        <v/>
      </c>
      <c r="AG110" t="str">
        <f t="shared" ca="1" si="95"/>
        <v/>
      </c>
      <c r="AH110" t="b">
        <f t="shared" ca="1" si="96"/>
        <v>1</v>
      </c>
      <c r="AI110" t="b">
        <f t="shared" ca="1" si="97"/>
        <v>0</v>
      </c>
      <c r="AJ110" t="b">
        <f t="shared" ca="1" si="98"/>
        <v>0</v>
      </c>
      <c r="AK110" t="b">
        <f t="shared" si="99"/>
        <v>0</v>
      </c>
      <c r="AL110" t="b">
        <f t="shared" si="100"/>
        <v>0</v>
      </c>
      <c r="AM110" t="b">
        <f t="shared" si="101"/>
        <v>0</v>
      </c>
      <c r="AN110" t="b">
        <f t="shared" si="102"/>
        <v>0</v>
      </c>
      <c r="AO110" t="b">
        <f>IF(COUNTIF($D$6:D109,F110&amp;G110&amp;W110)&gt;0,AK110,FALSE)</f>
        <v>0</v>
      </c>
      <c r="AP110" t="b">
        <f t="shared" ca="1" si="117"/>
        <v>0</v>
      </c>
      <c r="AQ110" t="b">
        <f t="shared" si="103"/>
        <v>0</v>
      </c>
      <c r="AR110" t="b">
        <f t="shared" si="104"/>
        <v>0</v>
      </c>
      <c r="AS110" t="b">
        <f t="shared" ca="1" si="105"/>
        <v>0</v>
      </c>
      <c r="AT110" t="b">
        <f t="shared" ca="1" si="106"/>
        <v>0</v>
      </c>
      <c r="AU110" t="b">
        <f ca="1">IF(COUNTIF(設定!$B$6:$B$11,SUMIF($B$6:B109,G110&amp;W110,$C$6:C109)+IF(AI110,10,IF(AJ110,1,0)))=1,FALSE,AK110)</f>
        <v>0</v>
      </c>
      <c r="AV110" t="b">
        <f t="shared" ca="1" si="107"/>
        <v>0</v>
      </c>
      <c r="AW110" t="b">
        <f t="shared" ca="1" si="108"/>
        <v>0</v>
      </c>
      <c r="AX110" t="b">
        <f t="shared" si="109"/>
        <v>0</v>
      </c>
      <c r="AY110" t="b">
        <f t="shared" si="110"/>
        <v>0</v>
      </c>
      <c r="AZ110" t="b">
        <f t="shared" si="111"/>
        <v>0</v>
      </c>
      <c r="BA110" t="b">
        <f>IF(AND(設定!$B$2&lt;=T110,T110&lt;=設定!$B$3),FALSE,AK110)</f>
        <v>0</v>
      </c>
      <c r="BC110">
        <f t="shared" ca="1" si="112"/>
        <v>0</v>
      </c>
      <c r="BD110">
        <f t="shared" si="118"/>
        <v>105</v>
      </c>
      <c r="BE110" t="str">
        <f t="shared" si="113"/>
        <v/>
      </c>
      <c r="BF110">
        <f>IF(BG110&lt;&gt;"",MAX($BF$6:BF109)+1,0)</f>
        <v>0</v>
      </c>
      <c r="BG110" t="str">
        <f>IF(BE110&lt;&gt;"",IF(COUNTIF($BE$6:BE109,BE110)&gt;0,"",BE110),"")</f>
        <v/>
      </c>
      <c r="BH110" t="str">
        <f t="shared" si="114"/>
        <v/>
      </c>
      <c r="BI110">
        <f>IF(BJ110&lt;&gt;"",MAX($BI$6:BI109)+1,0)</f>
        <v>0</v>
      </c>
      <c r="BJ110" t="str">
        <f>IF(BH110&lt;&gt;"",IF(COUNTIF($BE$6:BH109,BH110)&gt;0,"",BH110),"")</f>
        <v/>
      </c>
    </row>
    <row r="111" spans="1:62" ht="16.5" customHeight="1">
      <c r="A111" t="str">
        <f t="shared" si="85"/>
        <v/>
      </c>
      <c r="B111" t="str">
        <f t="shared" si="86"/>
        <v/>
      </c>
      <c r="C111">
        <f t="shared" ca="1" si="87"/>
        <v>0</v>
      </c>
      <c r="D111" t="str">
        <f t="shared" si="88"/>
        <v/>
      </c>
      <c r="E111">
        <f>IF(B111="",0,LARGE($E$5:E110,1)+1)</f>
        <v>0</v>
      </c>
      <c r="F111" s="44"/>
      <c r="G111" s="45"/>
      <c r="H111" s="7" t="str">
        <f>IF(AND(F111="",G111=""),"",VLOOKUP(学校情報!$B$5&amp;F111&amp;G111,選手データ!$A:$H,4,FALSE))</f>
        <v/>
      </c>
      <c r="I111" s="7" t="str">
        <f>IF(AND(F111="",G111=""),"",VLOOKUP(学校情報!$B$5&amp;F111&amp;G111,選手データ!$A:$H,5,FALSE))</f>
        <v/>
      </c>
      <c r="J111" s="8" t="str">
        <f>IF(AND(F111="",G111=""),"",VLOOKUP(学校情報!$B$5&amp;F111&amp;G111,選手データ!$A:$H,6,FALSE))</f>
        <v/>
      </c>
      <c r="K111" s="32" t="str">
        <f>IF(AND(F111="",G111=""),"",VLOOKUP(学校情報!$B$5&amp;F111&amp;G111,選手データ!$A:$H,8,FALSE))</f>
        <v/>
      </c>
      <c r="L111" s="7" t="str">
        <f>IF(AND(F111="",G111=""),"",VLOOKUP(学校情報!$B$5&amp;F111&amp;G111,選手データ!$A:$I,9,FALSE))</f>
        <v/>
      </c>
      <c r="M111" s="44"/>
      <c r="N111" s="46"/>
      <c r="O111" s="47"/>
      <c r="P111" s="7" t="str">
        <f t="shared" ca="1" si="89"/>
        <v/>
      </c>
      <c r="Q111" s="46"/>
      <c r="R111" s="48"/>
      <c r="S111" s="45"/>
      <c r="T111" s="49"/>
      <c r="U111" s="8" t="str">
        <f t="shared" ca="1" si="90"/>
        <v/>
      </c>
      <c r="V111" s="8" t="str">
        <f t="shared" si="91"/>
        <v/>
      </c>
      <c r="W111" s="4">
        <f t="shared" si="92"/>
        <v>0</v>
      </c>
      <c r="X111" t="b">
        <f ca="1">IF(M111="",FALSE,VLOOKUP(M111,OFFSET(設定!$D$2:$I$25,0,AA111),2,FALSE))</f>
        <v>0</v>
      </c>
      <c r="Y111" t="str">
        <f ca="1">IF(M111="","",VLOOKUP(M111,OFFSET(設定!$D$2:$I$25,0,AA111),3,FALSE))</f>
        <v/>
      </c>
      <c r="Z111" t="b">
        <f ca="1">IF(M111="",FALSE,VLOOKUP(M111,OFFSET(設定!$D$2:$I$25,0,AA111),4,FALSE))</f>
        <v>0</v>
      </c>
      <c r="AA111">
        <f t="shared" si="115"/>
        <v>7</v>
      </c>
      <c r="AB111" s="1" t="str">
        <f ca="1">IF(M111="","",IF(AND(Z111,N111="〇"),IF(VLOOKUP(M111,OFFSET(設定!$D$2:$I$25,0,AA111),5,FALSE)="-","-",LEFT(VLOOKUP(M111,OFFSET(設定!$D$2:$I$25,0,AA111),5,FALSE),INT(LEN(VLOOKUP(M111,OFFSET(設定!$D$2:$I$25,0,AA111),5,FALSE))-1))),IF(VLOOKUP(M111,OFFSET(設定!$D$2:$I$25,0,AA111),5,FALSE)="-","-",INT(VLOOKUP(M111,OFFSET(設定!$D$2:$I$25,0,AA111),5,FALSE)))))</f>
        <v/>
      </c>
      <c r="AC111" s="1" t="str">
        <f ca="1">IF(M111="","",IF(AND(Z111,N111="〇"),IF(VLOOKUP(M111,OFFSET(設定!$D$2:$I$25,0,AA111),6,FALSE)="-","-",LEFT(VLOOKUP(M111,OFFSET(設定!$D$2:$I$25,0,AA111),6,FALSE),INT(LEN(VLOOKUP(M111,OFFSET(設定!$D$2:$I$25,0,AA111),6,FALSE))-1))),IF(VLOOKUP(M111,OFFSET(設定!$D$2:$I$25,0,AA111),6,FALSE)="-","-",INT(VLOOKUP(M111,OFFSET(設定!$D$2:$I$25,0,AA111),6,FALSE)))))</f>
        <v/>
      </c>
      <c r="AD111">
        <f t="shared" si="116"/>
        <v>2</v>
      </c>
      <c r="AE111" t="str">
        <f t="shared" ca="1" si="93"/>
        <v/>
      </c>
      <c r="AF111" t="str">
        <f t="shared" ca="1" si="94"/>
        <v/>
      </c>
      <c r="AG111" t="str">
        <f t="shared" ca="1" si="95"/>
        <v/>
      </c>
      <c r="AH111" t="b">
        <f t="shared" ca="1" si="96"/>
        <v>1</v>
      </c>
      <c r="AI111" t="b">
        <f t="shared" ca="1" si="97"/>
        <v>0</v>
      </c>
      <c r="AJ111" t="b">
        <f t="shared" ca="1" si="98"/>
        <v>0</v>
      </c>
      <c r="AK111" t="b">
        <f t="shared" si="99"/>
        <v>0</v>
      </c>
      <c r="AL111" t="b">
        <f t="shared" si="100"/>
        <v>0</v>
      </c>
      <c r="AM111" t="b">
        <f t="shared" si="101"/>
        <v>0</v>
      </c>
      <c r="AN111" t="b">
        <f t="shared" si="102"/>
        <v>0</v>
      </c>
      <c r="AO111" t="b">
        <f>IF(COUNTIF($D$6:D110,F111&amp;G111&amp;W111)&gt;0,AK111,FALSE)</f>
        <v>0</v>
      </c>
      <c r="AP111" t="b">
        <f t="shared" ca="1" si="117"/>
        <v>0</v>
      </c>
      <c r="AQ111" t="b">
        <f t="shared" si="103"/>
        <v>0</v>
      </c>
      <c r="AR111" t="b">
        <f t="shared" si="104"/>
        <v>0</v>
      </c>
      <c r="AS111" t="b">
        <f t="shared" ca="1" si="105"/>
        <v>0</v>
      </c>
      <c r="AT111" t="b">
        <f t="shared" ca="1" si="106"/>
        <v>0</v>
      </c>
      <c r="AU111" t="b">
        <f ca="1">IF(COUNTIF(設定!$B$6:$B$11,SUMIF($B$6:B110,G111&amp;W111,$C$6:C110)+IF(AI111,10,IF(AJ111,1,0)))=1,FALSE,AK111)</f>
        <v>0</v>
      </c>
      <c r="AV111" t="b">
        <f t="shared" ca="1" si="107"/>
        <v>0</v>
      </c>
      <c r="AW111" t="b">
        <f t="shared" ca="1" si="108"/>
        <v>0</v>
      </c>
      <c r="AX111" t="b">
        <f t="shared" si="109"/>
        <v>0</v>
      </c>
      <c r="AY111" t="b">
        <f t="shared" si="110"/>
        <v>0</v>
      </c>
      <c r="AZ111" t="b">
        <f t="shared" si="111"/>
        <v>0</v>
      </c>
      <c r="BA111" t="b">
        <f>IF(AND(設定!$B$2&lt;=T111,T111&lt;=設定!$B$3),FALSE,AK111)</f>
        <v>0</v>
      </c>
      <c r="BC111">
        <f t="shared" ca="1" si="112"/>
        <v>0</v>
      </c>
      <c r="BD111">
        <f t="shared" si="118"/>
        <v>106</v>
      </c>
      <c r="BE111" t="str">
        <f t="shared" si="113"/>
        <v/>
      </c>
      <c r="BF111">
        <f>IF(BG111&lt;&gt;"",MAX($BF$6:BF110)+1,0)</f>
        <v>0</v>
      </c>
      <c r="BG111" t="str">
        <f>IF(BE111&lt;&gt;"",IF(COUNTIF($BE$6:BE110,BE111)&gt;0,"",BE111),"")</f>
        <v/>
      </c>
      <c r="BH111" t="str">
        <f t="shared" si="114"/>
        <v/>
      </c>
      <c r="BI111">
        <f>IF(BJ111&lt;&gt;"",MAX($BI$6:BI110)+1,0)</f>
        <v>0</v>
      </c>
      <c r="BJ111" t="str">
        <f>IF(BH111&lt;&gt;"",IF(COUNTIF($BE$6:BH110,BH111)&gt;0,"",BH111),"")</f>
        <v/>
      </c>
    </row>
    <row r="112" spans="1:62" ht="16.5" customHeight="1">
      <c r="A112" t="str">
        <f t="shared" si="85"/>
        <v/>
      </c>
      <c r="B112" t="str">
        <f t="shared" si="86"/>
        <v/>
      </c>
      <c r="C112">
        <f t="shared" ca="1" si="87"/>
        <v>0</v>
      </c>
      <c r="D112" t="str">
        <f t="shared" si="88"/>
        <v/>
      </c>
      <c r="E112">
        <f>IF(B112="",0,LARGE($E$5:E111,1)+1)</f>
        <v>0</v>
      </c>
      <c r="F112" s="44"/>
      <c r="G112" s="45"/>
      <c r="H112" s="7" t="str">
        <f>IF(AND(F112="",G112=""),"",VLOOKUP(学校情報!$B$5&amp;F112&amp;G112,選手データ!$A:$H,4,FALSE))</f>
        <v/>
      </c>
      <c r="I112" s="7" t="str">
        <f>IF(AND(F112="",G112=""),"",VLOOKUP(学校情報!$B$5&amp;F112&amp;G112,選手データ!$A:$H,5,FALSE))</f>
        <v/>
      </c>
      <c r="J112" s="8" t="str">
        <f>IF(AND(F112="",G112=""),"",VLOOKUP(学校情報!$B$5&amp;F112&amp;G112,選手データ!$A:$H,6,FALSE))</f>
        <v/>
      </c>
      <c r="K112" s="32" t="str">
        <f>IF(AND(F112="",G112=""),"",VLOOKUP(学校情報!$B$5&amp;F112&amp;G112,選手データ!$A:$H,8,FALSE))</f>
        <v/>
      </c>
      <c r="L112" s="7" t="str">
        <f>IF(AND(F112="",G112=""),"",VLOOKUP(学校情報!$B$5&amp;F112&amp;G112,選手データ!$A:$I,9,FALSE))</f>
        <v/>
      </c>
      <c r="M112" s="44"/>
      <c r="N112" s="46"/>
      <c r="O112" s="47"/>
      <c r="P112" s="7" t="str">
        <f t="shared" ca="1" si="89"/>
        <v/>
      </c>
      <c r="Q112" s="46"/>
      <c r="R112" s="48"/>
      <c r="S112" s="45"/>
      <c r="T112" s="49"/>
      <c r="U112" s="8" t="str">
        <f t="shared" ca="1" si="90"/>
        <v/>
      </c>
      <c r="V112" s="8" t="str">
        <f t="shared" si="91"/>
        <v/>
      </c>
      <c r="W112" s="4">
        <f t="shared" si="92"/>
        <v>0</v>
      </c>
      <c r="X112" t="b">
        <f ca="1">IF(M112="",FALSE,VLOOKUP(M112,OFFSET(設定!$D$2:$I$25,0,AA112),2,FALSE))</f>
        <v>0</v>
      </c>
      <c r="Y112" t="str">
        <f ca="1">IF(M112="","",VLOOKUP(M112,OFFSET(設定!$D$2:$I$25,0,AA112),3,FALSE))</f>
        <v/>
      </c>
      <c r="Z112" t="b">
        <f ca="1">IF(M112="",FALSE,VLOOKUP(M112,OFFSET(設定!$D$2:$I$25,0,AA112),4,FALSE))</f>
        <v>0</v>
      </c>
      <c r="AA112">
        <f t="shared" si="115"/>
        <v>7</v>
      </c>
      <c r="AB112" s="1" t="str">
        <f ca="1">IF(M112="","",IF(AND(Z112,N112="〇"),IF(VLOOKUP(M112,OFFSET(設定!$D$2:$I$25,0,AA112),5,FALSE)="-","-",LEFT(VLOOKUP(M112,OFFSET(設定!$D$2:$I$25,0,AA112),5,FALSE),INT(LEN(VLOOKUP(M112,OFFSET(設定!$D$2:$I$25,0,AA112),5,FALSE))-1))),IF(VLOOKUP(M112,OFFSET(設定!$D$2:$I$25,0,AA112),5,FALSE)="-","-",INT(VLOOKUP(M112,OFFSET(設定!$D$2:$I$25,0,AA112),5,FALSE)))))</f>
        <v/>
      </c>
      <c r="AC112" s="1" t="str">
        <f ca="1">IF(M112="","",IF(AND(Z112,N112="〇"),IF(VLOOKUP(M112,OFFSET(設定!$D$2:$I$25,0,AA112),6,FALSE)="-","-",LEFT(VLOOKUP(M112,OFFSET(設定!$D$2:$I$25,0,AA112),6,FALSE),INT(LEN(VLOOKUP(M112,OFFSET(設定!$D$2:$I$25,0,AA112),6,FALSE))-1))),IF(VLOOKUP(M112,OFFSET(設定!$D$2:$I$25,0,AA112),6,FALSE)="-","-",INT(VLOOKUP(M112,OFFSET(設定!$D$2:$I$25,0,AA112),6,FALSE)))))</f>
        <v/>
      </c>
      <c r="AD112">
        <f t="shared" si="116"/>
        <v>2</v>
      </c>
      <c r="AE112" t="str">
        <f t="shared" ca="1" si="93"/>
        <v/>
      </c>
      <c r="AF112" t="str">
        <f t="shared" ca="1" si="94"/>
        <v/>
      </c>
      <c r="AG112" t="str">
        <f t="shared" ca="1" si="95"/>
        <v/>
      </c>
      <c r="AH112" t="b">
        <f t="shared" ca="1" si="96"/>
        <v>1</v>
      </c>
      <c r="AI112" t="b">
        <f t="shared" ca="1" si="97"/>
        <v>0</v>
      </c>
      <c r="AJ112" t="b">
        <f t="shared" ca="1" si="98"/>
        <v>0</v>
      </c>
      <c r="AK112" t="b">
        <f t="shared" si="99"/>
        <v>0</v>
      </c>
      <c r="AL112" t="b">
        <f t="shared" si="100"/>
        <v>0</v>
      </c>
      <c r="AM112" t="b">
        <f t="shared" si="101"/>
        <v>0</v>
      </c>
      <c r="AN112" t="b">
        <f t="shared" si="102"/>
        <v>0</v>
      </c>
      <c r="AO112" t="b">
        <f>IF(COUNTIF($D$6:D111,F112&amp;G112&amp;W112)&gt;0,AK112,FALSE)</f>
        <v>0</v>
      </c>
      <c r="AP112" t="b">
        <f t="shared" ca="1" si="117"/>
        <v>0</v>
      </c>
      <c r="AQ112" t="b">
        <f t="shared" si="103"/>
        <v>0</v>
      </c>
      <c r="AR112" t="b">
        <f t="shared" si="104"/>
        <v>0</v>
      </c>
      <c r="AS112" t="b">
        <f t="shared" ca="1" si="105"/>
        <v>0</v>
      </c>
      <c r="AT112" t="b">
        <f t="shared" ca="1" si="106"/>
        <v>0</v>
      </c>
      <c r="AU112" t="b">
        <f ca="1">IF(COUNTIF(設定!$B$6:$B$11,SUMIF($B$6:B111,G112&amp;W112,$C$6:C111)+IF(AI112,10,IF(AJ112,1,0)))=1,FALSE,AK112)</f>
        <v>0</v>
      </c>
      <c r="AV112" t="b">
        <f t="shared" ca="1" si="107"/>
        <v>0</v>
      </c>
      <c r="AW112" t="b">
        <f t="shared" ca="1" si="108"/>
        <v>0</v>
      </c>
      <c r="AX112" t="b">
        <f t="shared" si="109"/>
        <v>0</v>
      </c>
      <c r="AY112" t="b">
        <f t="shared" si="110"/>
        <v>0</v>
      </c>
      <c r="AZ112" t="b">
        <f t="shared" si="111"/>
        <v>0</v>
      </c>
      <c r="BA112" t="b">
        <f>IF(AND(設定!$B$2&lt;=T112,T112&lt;=設定!$B$3),FALSE,AK112)</f>
        <v>0</v>
      </c>
      <c r="BC112">
        <f t="shared" ca="1" si="112"/>
        <v>0</v>
      </c>
      <c r="BD112">
        <f t="shared" si="118"/>
        <v>107</v>
      </c>
      <c r="BE112" t="str">
        <f t="shared" si="113"/>
        <v/>
      </c>
      <c r="BF112">
        <f>IF(BG112&lt;&gt;"",MAX($BF$6:BF111)+1,0)</f>
        <v>0</v>
      </c>
      <c r="BG112" t="str">
        <f>IF(BE112&lt;&gt;"",IF(COUNTIF($BE$6:BE111,BE112)&gt;0,"",BE112),"")</f>
        <v/>
      </c>
      <c r="BH112" t="str">
        <f t="shared" si="114"/>
        <v/>
      </c>
      <c r="BI112">
        <f>IF(BJ112&lt;&gt;"",MAX($BI$6:BI111)+1,0)</f>
        <v>0</v>
      </c>
      <c r="BJ112" t="str">
        <f>IF(BH112&lt;&gt;"",IF(COUNTIF($BE$6:BH111,BH112)&gt;0,"",BH112),"")</f>
        <v/>
      </c>
    </row>
    <row r="113" spans="1:62" ht="16.5" customHeight="1">
      <c r="A113" t="str">
        <f t="shared" si="85"/>
        <v/>
      </c>
      <c r="B113" t="str">
        <f t="shared" si="86"/>
        <v/>
      </c>
      <c r="C113">
        <f t="shared" ca="1" si="87"/>
        <v>0</v>
      </c>
      <c r="D113" t="str">
        <f t="shared" si="88"/>
        <v/>
      </c>
      <c r="E113">
        <f>IF(B113="",0,LARGE($E$5:E112,1)+1)</f>
        <v>0</v>
      </c>
      <c r="F113" s="44"/>
      <c r="G113" s="45"/>
      <c r="H113" s="7" t="str">
        <f>IF(AND(F113="",G113=""),"",VLOOKUP(学校情報!$B$5&amp;F113&amp;G113,選手データ!$A:$H,4,FALSE))</f>
        <v/>
      </c>
      <c r="I113" s="7" t="str">
        <f>IF(AND(F113="",G113=""),"",VLOOKUP(学校情報!$B$5&amp;F113&amp;G113,選手データ!$A:$H,5,FALSE))</f>
        <v/>
      </c>
      <c r="J113" s="8" t="str">
        <f>IF(AND(F113="",G113=""),"",VLOOKUP(学校情報!$B$5&amp;F113&amp;G113,選手データ!$A:$H,6,FALSE))</f>
        <v/>
      </c>
      <c r="K113" s="32" t="str">
        <f>IF(AND(F113="",G113=""),"",VLOOKUP(学校情報!$B$5&amp;F113&amp;G113,選手データ!$A:$H,8,FALSE))</f>
        <v/>
      </c>
      <c r="L113" s="7" t="str">
        <f>IF(AND(F113="",G113=""),"",VLOOKUP(学校情報!$B$5&amp;F113&amp;G113,選手データ!$A:$I,9,FALSE))</f>
        <v/>
      </c>
      <c r="M113" s="44"/>
      <c r="N113" s="46"/>
      <c r="O113" s="47"/>
      <c r="P113" s="7" t="str">
        <f t="shared" ca="1" si="89"/>
        <v/>
      </c>
      <c r="Q113" s="46"/>
      <c r="R113" s="48"/>
      <c r="S113" s="45"/>
      <c r="T113" s="49"/>
      <c r="U113" s="8" t="str">
        <f t="shared" ca="1" si="90"/>
        <v/>
      </c>
      <c r="V113" s="8" t="str">
        <f t="shared" si="91"/>
        <v/>
      </c>
      <c r="W113" s="4">
        <f t="shared" si="92"/>
        <v>0</v>
      </c>
      <c r="X113" t="b">
        <f ca="1">IF(M113="",FALSE,VLOOKUP(M113,OFFSET(設定!$D$2:$I$25,0,AA113),2,FALSE))</f>
        <v>0</v>
      </c>
      <c r="Y113" t="str">
        <f ca="1">IF(M113="","",VLOOKUP(M113,OFFSET(設定!$D$2:$I$25,0,AA113),3,FALSE))</f>
        <v/>
      </c>
      <c r="Z113" t="b">
        <f ca="1">IF(M113="",FALSE,VLOOKUP(M113,OFFSET(設定!$D$2:$I$25,0,AA113),4,FALSE))</f>
        <v>0</v>
      </c>
      <c r="AA113">
        <f t="shared" si="115"/>
        <v>7</v>
      </c>
      <c r="AB113" s="1" t="str">
        <f ca="1">IF(M113="","",IF(AND(Z113,N113="〇"),IF(VLOOKUP(M113,OFFSET(設定!$D$2:$I$25,0,AA113),5,FALSE)="-","-",LEFT(VLOOKUP(M113,OFFSET(設定!$D$2:$I$25,0,AA113),5,FALSE),INT(LEN(VLOOKUP(M113,OFFSET(設定!$D$2:$I$25,0,AA113),5,FALSE))-1))),IF(VLOOKUP(M113,OFFSET(設定!$D$2:$I$25,0,AA113),5,FALSE)="-","-",INT(VLOOKUP(M113,OFFSET(設定!$D$2:$I$25,0,AA113),5,FALSE)))))</f>
        <v/>
      </c>
      <c r="AC113" s="1" t="str">
        <f ca="1">IF(M113="","",IF(AND(Z113,N113="〇"),IF(VLOOKUP(M113,OFFSET(設定!$D$2:$I$25,0,AA113),6,FALSE)="-","-",LEFT(VLOOKUP(M113,OFFSET(設定!$D$2:$I$25,0,AA113),6,FALSE),INT(LEN(VLOOKUP(M113,OFFSET(設定!$D$2:$I$25,0,AA113),6,FALSE))-1))),IF(VLOOKUP(M113,OFFSET(設定!$D$2:$I$25,0,AA113),6,FALSE)="-","-",INT(VLOOKUP(M113,OFFSET(設定!$D$2:$I$25,0,AA113),6,FALSE)))))</f>
        <v/>
      </c>
      <c r="AD113">
        <f t="shared" si="116"/>
        <v>2</v>
      </c>
      <c r="AE113" t="str">
        <f t="shared" ca="1" si="93"/>
        <v/>
      </c>
      <c r="AF113" t="str">
        <f t="shared" ca="1" si="94"/>
        <v/>
      </c>
      <c r="AG113" t="str">
        <f t="shared" ca="1" si="95"/>
        <v/>
      </c>
      <c r="AH113" t="b">
        <f t="shared" ca="1" si="96"/>
        <v>1</v>
      </c>
      <c r="AI113" t="b">
        <f t="shared" ca="1" si="97"/>
        <v>0</v>
      </c>
      <c r="AJ113" t="b">
        <f t="shared" ca="1" si="98"/>
        <v>0</v>
      </c>
      <c r="AK113" t="b">
        <f t="shared" si="99"/>
        <v>0</v>
      </c>
      <c r="AL113" t="b">
        <f t="shared" si="100"/>
        <v>0</v>
      </c>
      <c r="AM113" t="b">
        <f t="shared" si="101"/>
        <v>0</v>
      </c>
      <c r="AN113" t="b">
        <f t="shared" si="102"/>
        <v>0</v>
      </c>
      <c r="AO113" t="b">
        <f>IF(COUNTIF($D$6:D112,F113&amp;G113&amp;W113)&gt;0,AK113,FALSE)</f>
        <v>0</v>
      </c>
      <c r="AP113" t="b">
        <f t="shared" ca="1" si="117"/>
        <v>0</v>
      </c>
      <c r="AQ113" t="b">
        <f t="shared" si="103"/>
        <v>0</v>
      </c>
      <c r="AR113" t="b">
        <f t="shared" si="104"/>
        <v>0</v>
      </c>
      <c r="AS113" t="b">
        <f t="shared" ca="1" si="105"/>
        <v>0</v>
      </c>
      <c r="AT113" t="b">
        <f t="shared" ca="1" si="106"/>
        <v>0</v>
      </c>
      <c r="AU113" t="b">
        <f ca="1">IF(COUNTIF(設定!$B$6:$B$11,SUMIF($B$6:B112,G113&amp;W113,$C$6:C112)+IF(AI113,10,IF(AJ113,1,0)))=1,FALSE,AK113)</f>
        <v>0</v>
      </c>
      <c r="AV113" t="b">
        <f t="shared" ca="1" si="107"/>
        <v>0</v>
      </c>
      <c r="AW113" t="b">
        <f t="shared" ca="1" si="108"/>
        <v>0</v>
      </c>
      <c r="AX113" t="b">
        <f t="shared" si="109"/>
        <v>0</v>
      </c>
      <c r="AY113" t="b">
        <f t="shared" si="110"/>
        <v>0</v>
      </c>
      <c r="AZ113" t="b">
        <f t="shared" si="111"/>
        <v>0</v>
      </c>
      <c r="BA113" t="b">
        <f>IF(AND(設定!$B$2&lt;=T113,T113&lt;=設定!$B$3),FALSE,AK113)</f>
        <v>0</v>
      </c>
      <c r="BC113">
        <f t="shared" ca="1" si="112"/>
        <v>0</v>
      </c>
      <c r="BD113">
        <f t="shared" si="118"/>
        <v>108</v>
      </c>
      <c r="BE113" t="str">
        <f t="shared" si="113"/>
        <v/>
      </c>
      <c r="BF113">
        <f>IF(BG113&lt;&gt;"",MAX($BF$6:BF112)+1,0)</f>
        <v>0</v>
      </c>
      <c r="BG113" t="str">
        <f>IF(BE113&lt;&gt;"",IF(COUNTIF($BE$6:BE112,BE113)&gt;0,"",BE113),"")</f>
        <v/>
      </c>
      <c r="BH113" t="str">
        <f t="shared" si="114"/>
        <v/>
      </c>
      <c r="BI113">
        <f>IF(BJ113&lt;&gt;"",MAX($BI$6:BI112)+1,0)</f>
        <v>0</v>
      </c>
      <c r="BJ113" t="str">
        <f>IF(BH113&lt;&gt;"",IF(COUNTIF($BE$6:BH112,BH113)&gt;0,"",BH113),"")</f>
        <v/>
      </c>
    </row>
    <row r="114" spans="1:62" ht="16.5" customHeight="1">
      <c r="A114" t="str">
        <f t="shared" si="85"/>
        <v/>
      </c>
      <c r="B114" t="str">
        <f t="shared" si="86"/>
        <v/>
      </c>
      <c r="C114">
        <f t="shared" ca="1" si="87"/>
        <v>0</v>
      </c>
      <c r="D114" t="str">
        <f t="shared" si="88"/>
        <v/>
      </c>
      <c r="E114">
        <f>IF(B114="",0,LARGE($E$5:E113,1)+1)</f>
        <v>0</v>
      </c>
      <c r="F114" s="44"/>
      <c r="G114" s="45"/>
      <c r="H114" s="7" t="str">
        <f>IF(AND(F114="",G114=""),"",VLOOKUP(学校情報!$B$5&amp;F114&amp;G114,選手データ!$A:$H,4,FALSE))</f>
        <v/>
      </c>
      <c r="I114" s="7" t="str">
        <f>IF(AND(F114="",G114=""),"",VLOOKUP(学校情報!$B$5&amp;F114&amp;G114,選手データ!$A:$H,5,FALSE))</f>
        <v/>
      </c>
      <c r="J114" s="8" t="str">
        <f>IF(AND(F114="",G114=""),"",VLOOKUP(学校情報!$B$5&amp;F114&amp;G114,選手データ!$A:$H,6,FALSE))</f>
        <v/>
      </c>
      <c r="K114" s="32" t="str">
        <f>IF(AND(F114="",G114=""),"",VLOOKUP(学校情報!$B$5&amp;F114&amp;G114,選手データ!$A:$H,8,FALSE))</f>
        <v/>
      </c>
      <c r="L114" s="7" t="str">
        <f>IF(AND(F114="",G114=""),"",VLOOKUP(学校情報!$B$5&amp;F114&amp;G114,選手データ!$A:$I,9,FALSE))</f>
        <v/>
      </c>
      <c r="M114" s="44"/>
      <c r="N114" s="46"/>
      <c r="O114" s="47"/>
      <c r="P114" s="7" t="str">
        <f t="shared" ca="1" si="89"/>
        <v/>
      </c>
      <c r="Q114" s="46"/>
      <c r="R114" s="48"/>
      <c r="S114" s="45"/>
      <c r="T114" s="49"/>
      <c r="U114" s="8" t="str">
        <f t="shared" ca="1" si="90"/>
        <v/>
      </c>
      <c r="V114" s="8" t="str">
        <f t="shared" si="91"/>
        <v/>
      </c>
      <c r="W114" s="4">
        <f t="shared" si="92"/>
        <v>0</v>
      </c>
      <c r="X114" t="b">
        <f ca="1">IF(M114="",FALSE,VLOOKUP(M114,OFFSET(設定!$D$2:$I$25,0,AA114),2,FALSE))</f>
        <v>0</v>
      </c>
      <c r="Y114" t="str">
        <f ca="1">IF(M114="","",VLOOKUP(M114,OFFSET(設定!$D$2:$I$25,0,AA114),3,FALSE))</f>
        <v/>
      </c>
      <c r="Z114" t="b">
        <f ca="1">IF(M114="",FALSE,VLOOKUP(M114,OFFSET(設定!$D$2:$I$25,0,AA114),4,FALSE))</f>
        <v>0</v>
      </c>
      <c r="AA114">
        <f t="shared" si="115"/>
        <v>7</v>
      </c>
      <c r="AB114" s="1" t="str">
        <f ca="1">IF(M114="","",IF(AND(Z114,N114="〇"),IF(VLOOKUP(M114,OFFSET(設定!$D$2:$I$25,0,AA114),5,FALSE)="-","-",LEFT(VLOOKUP(M114,OFFSET(設定!$D$2:$I$25,0,AA114),5,FALSE),INT(LEN(VLOOKUP(M114,OFFSET(設定!$D$2:$I$25,0,AA114),5,FALSE))-1))),IF(VLOOKUP(M114,OFFSET(設定!$D$2:$I$25,0,AA114),5,FALSE)="-","-",INT(VLOOKUP(M114,OFFSET(設定!$D$2:$I$25,0,AA114),5,FALSE)))))</f>
        <v/>
      </c>
      <c r="AC114" s="1" t="str">
        <f ca="1">IF(M114="","",IF(AND(Z114,N114="〇"),IF(VLOOKUP(M114,OFFSET(設定!$D$2:$I$25,0,AA114),6,FALSE)="-","-",LEFT(VLOOKUP(M114,OFFSET(設定!$D$2:$I$25,0,AA114),6,FALSE),INT(LEN(VLOOKUP(M114,OFFSET(設定!$D$2:$I$25,0,AA114),6,FALSE))-1))),IF(VLOOKUP(M114,OFFSET(設定!$D$2:$I$25,0,AA114),6,FALSE)="-","-",INT(VLOOKUP(M114,OFFSET(設定!$D$2:$I$25,0,AA114),6,FALSE)))))</f>
        <v/>
      </c>
      <c r="AD114">
        <f t="shared" si="116"/>
        <v>2</v>
      </c>
      <c r="AE114" t="str">
        <f t="shared" ca="1" si="93"/>
        <v/>
      </c>
      <c r="AF114" t="str">
        <f t="shared" ca="1" si="94"/>
        <v/>
      </c>
      <c r="AG114" t="str">
        <f t="shared" ca="1" si="95"/>
        <v/>
      </c>
      <c r="AH114" t="b">
        <f t="shared" ca="1" si="96"/>
        <v>1</v>
      </c>
      <c r="AI114" t="b">
        <f t="shared" ca="1" si="97"/>
        <v>0</v>
      </c>
      <c r="AJ114" t="b">
        <f t="shared" ca="1" si="98"/>
        <v>0</v>
      </c>
      <c r="AK114" t="b">
        <f t="shared" si="99"/>
        <v>0</v>
      </c>
      <c r="AL114" t="b">
        <f t="shared" si="100"/>
        <v>0</v>
      </c>
      <c r="AM114" t="b">
        <f t="shared" si="101"/>
        <v>0</v>
      </c>
      <c r="AN114" t="b">
        <f t="shared" si="102"/>
        <v>0</v>
      </c>
      <c r="AO114" t="b">
        <f>IF(COUNTIF($D$6:D113,F114&amp;G114&amp;W114)&gt;0,AK114,FALSE)</f>
        <v>0</v>
      </c>
      <c r="AP114" t="b">
        <f t="shared" ca="1" si="117"/>
        <v>0</v>
      </c>
      <c r="AQ114" t="b">
        <f t="shared" si="103"/>
        <v>0</v>
      </c>
      <c r="AR114" t="b">
        <f t="shared" si="104"/>
        <v>0</v>
      </c>
      <c r="AS114" t="b">
        <f t="shared" ca="1" si="105"/>
        <v>0</v>
      </c>
      <c r="AT114" t="b">
        <f t="shared" ca="1" si="106"/>
        <v>0</v>
      </c>
      <c r="AU114" t="b">
        <f ca="1">IF(COUNTIF(設定!$B$6:$B$11,SUMIF($B$6:B113,G114&amp;W114,$C$6:C113)+IF(AI114,10,IF(AJ114,1,0)))=1,FALSE,AK114)</f>
        <v>0</v>
      </c>
      <c r="AV114" t="b">
        <f t="shared" ca="1" si="107"/>
        <v>0</v>
      </c>
      <c r="AW114" t="b">
        <f t="shared" ca="1" si="108"/>
        <v>0</v>
      </c>
      <c r="AX114" t="b">
        <f t="shared" si="109"/>
        <v>0</v>
      </c>
      <c r="AY114" t="b">
        <f t="shared" si="110"/>
        <v>0</v>
      </c>
      <c r="AZ114" t="b">
        <f t="shared" si="111"/>
        <v>0</v>
      </c>
      <c r="BA114" t="b">
        <f>IF(AND(設定!$B$2&lt;=T114,T114&lt;=設定!$B$3),FALSE,AK114)</f>
        <v>0</v>
      </c>
      <c r="BC114">
        <f t="shared" ca="1" si="112"/>
        <v>0</v>
      </c>
      <c r="BD114">
        <f t="shared" si="118"/>
        <v>109</v>
      </c>
      <c r="BE114" t="str">
        <f t="shared" si="113"/>
        <v/>
      </c>
      <c r="BF114">
        <f>IF(BG114&lt;&gt;"",MAX($BF$6:BF113)+1,0)</f>
        <v>0</v>
      </c>
      <c r="BG114" t="str">
        <f>IF(BE114&lt;&gt;"",IF(COUNTIF($BE$6:BE113,BE114)&gt;0,"",BE114),"")</f>
        <v/>
      </c>
      <c r="BH114" t="str">
        <f t="shared" si="114"/>
        <v/>
      </c>
      <c r="BI114">
        <f>IF(BJ114&lt;&gt;"",MAX($BI$6:BI113)+1,0)</f>
        <v>0</v>
      </c>
      <c r="BJ114" t="str">
        <f>IF(BH114&lt;&gt;"",IF(COUNTIF($BE$6:BH113,BH114)&gt;0,"",BH114),"")</f>
        <v/>
      </c>
    </row>
    <row r="115" spans="1:62" ht="16.5" customHeight="1">
      <c r="A115" t="str">
        <f t="shared" si="85"/>
        <v/>
      </c>
      <c r="B115" t="str">
        <f t="shared" si="86"/>
        <v/>
      </c>
      <c r="C115">
        <f t="shared" ca="1" si="87"/>
        <v>0</v>
      </c>
      <c r="D115" t="str">
        <f t="shared" si="88"/>
        <v/>
      </c>
      <c r="E115">
        <f>IF(B115="",0,LARGE($E$5:E114,1)+1)</f>
        <v>0</v>
      </c>
      <c r="F115" s="44"/>
      <c r="G115" s="45"/>
      <c r="H115" s="7" t="str">
        <f>IF(AND(F115="",G115=""),"",VLOOKUP(学校情報!$B$5&amp;F115&amp;G115,選手データ!$A:$H,4,FALSE))</f>
        <v/>
      </c>
      <c r="I115" s="7" t="str">
        <f>IF(AND(F115="",G115=""),"",VLOOKUP(学校情報!$B$5&amp;F115&amp;G115,選手データ!$A:$H,5,FALSE))</f>
        <v/>
      </c>
      <c r="J115" s="8" t="str">
        <f>IF(AND(F115="",G115=""),"",VLOOKUP(学校情報!$B$5&amp;F115&amp;G115,選手データ!$A:$H,6,FALSE))</f>
        <v/>
      </c>
      <c r="K115" s="32" t="str">
        <f>IF(AND(F115="",G115=""),"",VLOOKUP(学校情報!$B$5&amp;F115&amp;G115,選手データ!$A:$H,8,FALSE))</f>
        <v/>
      </c>
      <c r="L115" s="7" t="str">
        <f>IF(AND(F115="",G115=""),"",VLOOKUP(学校情報!$B$5&amp;F115&amp;G115,選手データ!$A:$I,9,FALSE))</f>
        <v/>
      </c>
      <c r="M115" s="44"/>
      <c r="N115" s="46"/>
      <c r="O115" s="47"/>
      <c r="P115" s="7" t="str">
        <f t="shared" ca="1" si="89"/>
        <v/>
      </c>
      <c r="Q115" s="46"/>
      <c r="R115" s="48"/>
      <c r="S115" s="45"/>
      <c r="T115" s="49"/>
      <c r="U115" s="8" t="str">
        <f t="shared" ca="1" si="90"/>
        <v/>
      </c>
      <c r="V115" s="8" t="str">
        <f t="shared" si="91"/>
        <v/>
      </c>
      <c r="W115" s="4">
        <f t="shared" si="92"/>
        <v>0</v>
      </c>
      <c r="X115" t="b">
        <f ca="1">IF(M115="",FALSE,VLOOKUP(M115,OFFSET(設定!$D$2:$I$25,0,AA115),2,FALSE))</f>
        <v>0</v>
      </c>
      <c r="Y115" t="str">
        <f ca="1">IF(M115="","",VLOOKUP(M115,OFFSET(設定!$D$2:$I$25,0,AA115),3,FALSE))</f>
        <v/>
      </c>
      <c r="Z115" t="b">
        <f ca="1">IF(M115="",FALSE,VLOOKUP(M115,OFFSET(設定!$D$2:$I$25,0,AA115),4,FALSE))</f>
        <v>0</v>
      </c>
      <c r="AA115">
        <f t="shared" si="115"/>
        <v>7</v>
      </c>
      <c r="AB115" s="1" t="str">
        <f ca="1">IF(M115="","",IF(AND(Z115,N115="〇"),IF(VLOOKUP(M115,OFFSET(設定!$D$2:$I$25,0,AA115),5,FALSE)="-","-",LEFT(VLOOKUP(M115,OFFSET(設定!$D$2:$I$25,0,AA115),5,FALSE),INT(LEN(VLOOKUP(M115,OFFSET(設定!$D$2:$I$25,0,AA115),5,FALSE))-1))),IF(VLOOKUP(M115,OFFSET(設定!$D$2:$I$25,0,AA115),5,FALSE)="-","-",INT(VLOOKUP(M115,OFFSET(設定!$D$2:$I$25,0,AA115),5,FALSE)))))</f>
        <v/>
      </c>
      <c r="AC115" s="1" t="str">
        <f ca="1">IF(M115="","",IF(AND(Z115,N115="〇"),IF(VLOOKUP(M115,OFFSET(設定!$D$2:$I$25,0,AA115),6,FALSE)="-","-",LEFT(VLOOKUP(M115,OFFSET(設定!$D$2:$I$25,0,AA115),6,FALSE),INT(LEN(VLOOKUP(M115,OFFSET(設定!$D$2:$I$25,0,AA115),6,FALSE))-1))),IF(VLOOKUP(M115,OFFSET(設定!$D$2:$I$25,0,AA115),6,FALSE)="-","-",INT(VLOOKUP(M115,OFFSET(設定!$D$2:$I$25,0,AA115),6,FALSE)))))</f>
        <v/>
      </c>
      <c r="AD115">
        <f t="shared" si="116"/>
        <v>2</v>
      </c>
      <c r="AE115" t="str">
        <f t="shared" ca="1" si="93"/>
        <v/>
      </c>
      <c r="AF115" t="str">
        <f t="shared" ca="1" si="94"/>
        <v/>
      </c>
      <c r="AG115" t="str">
        <f t="shared" ca="1" si="95"/>
        <v/>
      </c>
      <c r="AH115" t="b">
        <f t="shared" ca="1" si="96"/>
        <v>1</v>
      </c>
      <c r="AI115" t="b">
        <f t="shared" ca="1" si="97"/>
        <v>0</v>
      </c>
      <c r="AJ115" t="b">
        <f t="shared" ca="1" si="98"/>
        <v>0</v>
      </c>
      <c r="AK115" t="b">
        <f t="shared" si="99"/>
        <v>0</v>
      </c>
      <c r="AL115" t="b">
        <f t="shared" si="100"/>
        <v>0</v>
      </c>
      <c r="AM115" t="b">
        <f t="shared" si="101"/>
        <v>0</v>
      </c>
      <c r="AN115" t="b">
        <f t="shared" si="102"/>
        <v>0</v>
      </c>
      <c r="AO115" t="b">
        <f>IF(COUNTIF($D$6:D114,F115&amp;G115&amp;W115)&gt;0,AK115,FALSE)</f>
        <v>0</v>
      </c>
      <c r="AP115" t="b">
        <f t="shared" ca="1" si="117"/>
        <v>0</v>
      </c>
      <c r="AQ115" t="b">
        <f t="shared" si="103"/>
        <v>0</v>
      </c>
      <c r="AR115" t="b">
        <f t="shared" si="104"/>
        <v>0</v>
      </c>
      <c r="AS115" t="b">
        <f t="shared" ca="1" si="105"/>
        <v>0</v>
      </c>
      <c r="AT115" t="b">
        <f t="shared" ca="1" si="106"/>
        <v>0</v>
      </c>
      <c r="AU115" t="b">
        <f ca="1">IF(COUNTIF(設定!$B$6:$B$11,SUMIF($B$6:B114,G115&amp;W115,$C$6:C114)+IF(AI115,10,IF(AJ115,1,0)))=1,FALSE,AK115)</f>
        <v>0</v>
      </c>
      <c r="AV115" t="b">
        <f t="shared" ca="1" si="107"/>
        <v>0</v>
      </c>
      <c r="AW115" t="b">
        <f t="shared" ca="1" si="108"/>
        <v>0</v>
      </c>
      <c r="AX115" t="b">
        <f t="shared" si="109"/>
        <v>0</v>
      </c>
      <c r="AY115" t="b">
        <f t="shared" si="110"/>
        <v>0</v>
      </c>
      <c r="AZ115" t="b">
        <f t="shared" si="111"/>
        <v>0</v>
      </c>
      <c r="BA115" t="b">
        <f>IF(AND(設定!$B$2&lt;=T115,T115&lt;=設定!$B$3),FALSE,AK115)</f>
        <v>0</v>
      </c>
      <c r="BC115">
        <f t="shared" ca="1" si="112"/>
        <v>0</v>
      </c>
      <c r="BD115">
        <f t="shared" si="118"/>
        <v>110</v>
      </c>
      <c r="BE115" t="str">
        <f t="shared" si="113"/>
        <v/>
      </c>
      <c r="BF115">
        <f>IF(BG115&lt;&gt;"",MAX($BF$6:BF114)+1,0)</f>
        <v>0</v>
      </c>
      <c r="BG115" t="str">
        <f>IF(BE115&lt;&gt;"",IF(COUNTIF($BE$6:BE114,BE115)&gt;0,"",BE115),"")</f>
        <v/>
      </c>
      <c r="BH115" t="str">
        <f t="shared" si="114"/>
        <v/>
      </c>
      <c r="BI115">
        <f>IF(BJ115&lt;&gt;"",MAX($BI$6:BI114)+1,0)</f>
        <v>0</v>
      </c>
      <c r="BJ115" t="str">
        <f>IF(BH115&lt;&gt;"",IF(COUNTIF($BE$6:BH114,BH115)&gt;0,"",BH115),"")</f>
        <v/>
      </c>
    </row>
    <row r="116" spans="1:62" ht="16.5" customHeight="1">
      <c r="A116" t="str">
        <f t="shared" si="85"/>
        <v/>
      </c>
      <c r="B116" t="str">
        <f t="shared" si="86"/>
        <v/>
      </c>
      <c r="C116">
        <f t="shared" ca="1" si="87"/>
        <v>0</v>
      </c>
      <c r="D116" t="str">
        <f t="shared" si="88"/>
        <v/>
      </c>
      <c r="E116">
        <f>IF(B116="",0,LARGE($E$5:E115,1)+1)</f>
        <v>0</v>
      </c>
      <c r="F116" s="44"/>
      <c r="G116" s="45"/>
      <c r="H116" s="7" t="str">
        <f>IF(AND(F116="",G116=""),"",VLOOKUP(学校情報!$B$5&amp;F116&amp;G116,選手データ!$A:$H,4,FALSE))</f>
        <v/>
      </c>
      <c r="I116" s="7" t="str">
        <f>IF(AND(F116="",G116=""),"",VLOOKUP(学校情報!$B$5&amp;F116&amp;G116,選手データ!$A:$H,5,FALSE))</f>
        <v/>
      </c>
      <c r="J116" s="8" t="str">
        <f>IF(AND(F116="",G116=""),"",VLOOKUP(学校情報!$B$5&amp;F116&amp;G116,選手データ!$A:$H,6,FALSE))</f>
        <v/>
      </c>
      <c r="K116" s="32" t="str">
        <f>IF(AND(F116="",G116=""),"",VLOOKUP(学校情報!$B$5&amp;F116&amp;G116,選手データ!$A:$H,8,FALSE))</f>
        <v/>
      </c>
      <c r="L116" s="7" t="str">
        <f>IF(AND(F116="",G116=""),"",VLOOKUP(学校情報!$B$5&amp;F116&amp;G116,選手データ!$A:$I,9,FALSE))</f>
        <v/>
      </c>
      <c r="M116" s="44"/>
      <c r="N116" s="46"/>
      <c r="O116" s="47"/>
      <c r="P116" s="7" t="str">
        <f t="shared" ca="1" si="89"/>
        <v/>
      </c>
      <c r="Q116" s="46"/>
      <c r="R116" s="48"/>
      <c r="S116" s="45"/>
      <c r="T116" s="49"/>
      <c r="U116" s="8" t="str">
        <f t="shared" ca="1" si="90"/>
        <v/>
      </c>
      <c r="V116" s="8" t="str">
        <f t="shared" si="91"/>
        <v/>
      </c>
      <c r="W116" s="4">
        <f t="shared" si="92"/>
        <v>0</v>
      </c>
      <c r="X116" t="b">
        <f ca="1">IF(M116="",FALSE,VLOOKUP(M116,OFFSET(設定!$D$2:$I$25,0,AA116),2,FALSE))</f>
        <v>0</v>
      </c>
      <c r="Y116" t="str">
        <f ca="1">IF(M116="","",VLOOKUP(M116,OFFSET(設定!$D$2:$I$25,0,AA116),3,FALSE))</f>
        <v/>
      </c>
      <c r="Z116" t="b">
        <f ca="1">IF(M116="",FALSE,VLOOKUP(M116,OFFSET(設定!$D$2:$I$25,0,AA116),4,FALSE))</f>
        <v>0</v>
      </c>
      <c r="AA116">
        <f t="shared" si="115"/>
        <v>7</v>
      </c>
      <c r="AB116" s="1" t="str">
        <f ca="1">IF(M116="","",IF(AND(Z116,N116="〇"),IF(VLOOKUP(M116,OFFSET(設定!$D$2:$I$25,0,AA116),5,FALSE)="-","-",LEFT(VLOOKUP(M116,OFFSET(設定!$D$2:$I$25,0,AA116),5,FALSE),INT(LEN(VLOOKUP(M116,OFFSET(設定!$D$2:$I$25,0,AA116),5,FALSE))-1))),IF(VLOOKUP(M116,OFFSET(設定!$D$2:$I$25,0,AA116),5,FALSE)="-","-",INT(VLOOKUP(M116,OFFSET(設定!$D$2:$I$25,0,AA116),5,FALSE)))))</f>
        <v/>
      </c>
      <c r="AC116" s="1" t="str">
        <f ca="1">IF(M116="","",IF(AND(Z116,N116="〇"),IF(VLOOKUP(M116,OFFSET(設定!$D$2:$I$25,0,AA116),6,FALSE)="-","-",LEFT(VLOOKUP(M116,OFFSET(設定!$D$2:$I$25,0,AA116),6,FALSE),INT(LEN(VLOOKUP(M116,OFFSET(設定!$D$2:$I$25,0,AA116),6,FALSE))-1))),IF(VLOOKUP(M116,OFFSET(設定!$D$2:$I$25,0,AA116),6,FALSE)="-","-",INT(VLOOKUP(M116,OFFSET(設定!$D$2:$I$25,0,AA116),6,FALSE)))))</f>
        <v/>
      </c>
      <c r="AD116">
        <f t="shared" si="116"/>
        <v>2</v>
      </c>
      <c r="AE116" t="str">
        <f t="shared" ca="1" si="93"/>
        <v/>
      </c>
      <c r="AF116" t="str">
        <f t="shared" ca="1" si="94"/>
        <v/>
      </c>
      <c r="AG116" t="str">
        <f t="shared" ca="1" si="95"/>
        <v/>
      </c>
      <c r="AH116" t="b">
        <f t="shared" ca="1" si="96"/>
        <v>1</v>
      </c>
      <c r="AI116" t="b">
        <f t="shared" ca="1" si="97"/>
        <v>0</v>
      </c>
      <c r="AJ116" t="b">
        <f t="shared" ca="1" si="98"/>
        <v>0</v>
      </c>
      <c r="AK116" t="b">
        <f t="shared" si="99"/>
        <v>0</v>
      </c>
      <c r="AL116" t="b">
        <f t="shared" si="100"/>
        <v>0</v>
      </c>
      <c r="AM116" t="b">
        <f t="shared" si="101"/>
        <v>0</v>
      </c>
      <c r="AN116" t="b">
        <f t="shared" si="102"/>
        <v>0</v>
      </c>
      <c r="AO116" t="b">
        <f>IF(COUNTIF($D$6:D115,F116&amp;G116&amp;W116)&gt;0,AK116,FALSE)</f>
        <v>0</v>
      </c>
      <c r="AP116" t="b">
        <f t="shared" ca="1" si="117"/>
        <v>0</v>
      </c>
      <c r="AQ116" t="b">
        <f t="shared" si="103"/>
        <v>0</v>
      </c>
      <c r="AR116" t="b">
        <f t="shared" si="104"/>
        <v>0</v>
      </c>
      <c r="AS116" t="b">
        <f t="shared" ca="1" si="105"/>
        <v>0</v>
      </c>
      <c r="AT116" t="b">
        <f t="shared" ca="1" si="106"/>
        <v>0</v>
      </c>
      <c r="AU116" t="b">
        <f ca="1">IF(COUNTIF(設定!$B$6:$B$11,SUMIF($B$6:B115,G116&amp;W116,$C$6:C115)+IF(AI116,10,IF(AJ116,1,0)))=1,FALSE,AK116)</f>
        <v>0</v>
      </c>
      <c r="AV116" t="b">
        <f t="shared" ca="1" si="107"/>
        <v>0</v>
      </c>
      <c r="AW116" t="b">
        <f t="shared" ca="1" si="108"/>
        <v>0</v>
      </c>
      <c r="AX116" t="b">
        <f t="shared" si="109"/>
        <v>0</v>
      </c>
      <c r="AY116" t="b">
        <f t="shared" si="110"/>
        <v>0</v>
      </c>
      <c r="AZ116" t="b">
        <f t="shared" si="111"/>
        <v>0</v>
      </c>
      <c r="BA116" t="b">
        <f>IF(AND(設定!$B$2&lt;=T116,T116&lt;=設定!$B$3),FALSE,AK116)</f>
        <v>0</v>
      </c>
      <c r="BC116">
        <f t="shared" ca="1" si="112"/>
        <v>0</v>
      </c>
      <c r="BD116">
        <f t="shared" si="118"/>
        <v>111</v>
      </c>
      <c r="BE116" t="str">
        <f t="shared" si="113"/>
        <v/>
      </c>
      <c r="BF116">
        <f>IF(BG116&lt;&gt;"",MAX($BF$6:BF115)+1,0)</f>
        <v>0</v>
      </c>
      <c r="BG116" t="str">
        <f>IF(BE116&lt;&gt;"",IF(COUNTIF($BE$6:BE115,BE116)&gt;0,"",BE116),"")</f>
        <v/>
      </c>
      <c r="BH116" t="str">
        <f t="shared" si="114"/>
        <v/>
      </c>
      <c r="BI116">
        <f>IF(BJ116&lt;&gt;"",MAX($BI$6:BI115)+1,0)</f>
        <v>0</v>
      </c>
      <c r="BJ116" t="str">
        <f>IF(BH116&lt;&gt;"",IF(COUNTIF($BE$6:BH115,BH116)&gt;0,"",BH116),"")</f>
        <v/>
      </c>
    </row>
    <row r="117" spans="1:62" ht="16.5" customHeight="1">
      <c r="A117" t="str">
        <f t="shared" si="85"/>
        <v/>
      </c>
      <c r="B117" t="str">
        <f t="shared" si="86"/>
        <v/>
      </c>
      <c r="C117">
        <f t="shared" ca="1" si="87"/>
        <v>0</v>
      </c>
      <c r="D117" t="str">
        <f t="shared" si="88"/>
        <v/>
      </c>
      <c r="E117">
        <f>IF(B117="",0,LARGE($E$5:E116,1)+1)</f>
        <v>0</v>
      </c>
      <c r="F117" s="44"/>
      <c r="G117" s="45"/>
      <c r="H117" s="7" t="str">
        <f>IF(AND(F117="",G117=""),"",VLOOKUP(学校情報!$B$5&amp;F117&amp;G117,選手データ!$A:$H,4,FALSE))</f>
        <v/>
      </c>
      <c r="I117" s="7" t="str">
        <f>IF(AND(F117="",G117=""),"",VLOOKUP(学校情報!$B$5&amp;F117&amp;G117,選手データ!$A:$H,5,FALSE))</f>
        <v/>
      </c>
      <c r="J117" s="8" t="str">
        <f>IF(AND(F117="",G117=""),"",VLOOKUP(学校情報!$B$5&amp;F117&amp;G117,選手データ!$A:$H,6,FALSE))</f>
        <v/>
      </c>
      <c r="K117" s="32" t="str">
        <f>IF(AND(F117="",G117=""),"",VLOOKUP(学校情報!$B$5&amp;F117&amp;G117,選手データ!$A:$H,8,FALSE))</f>
        <v/>
      </c>
      <c r="L117" s="7" t="str">
        <f>IF(AND(F117="",G117=""),"",VLOOKUP(学校情報!$B$5&amp;F117&amp;G117,選手データ!$A:$I,9,FALSE))</f>
        <v/>
      </c>
      <c r="M117" s="44"/>
      <c r="N117" s="46"/>
      <c r="O117" s="47"/>
      <c r="P117" s="7" t="str">
        <f t="shared" ca="1" si="89"/>
        <v/>
      </c>
      <c r="Q117" s="46"/>
      <c r="R117" s="48"/>
      <c r="S117" s="45"/>
      <c r="T117" s="49"/>
      <c r="U117" s="8" t="str">
        <f t="shared" ca="1" si="90"/>
        <v/>
      </c>
      <c r="V117" s="8" t="str">
        <f t="shared" si="91"/>
        <v/>
      </c>
      <c r="W117" s="4">
        <f t="shared" si="92"/>
        <v>0</v>
      </c>
      <c r="X117" t="b">
        <f ca="1">IF(M117="",FALSE,VLOOKUP(M117,OFFSET(設定!$D$2:$I$25,0,AA117),2,FALSE))</f>
        <v>0</v>
      </c>
      <c r="Y117" t="str">
        <f ca="1">IF(M117="","",VLOOKUP(M117,OFFSET(設定!$D$2:$I$25,0,AA117),3,FALSE))</f>
        <v/>
      </c>
      <c r="Z117" t="b">
        <f ca="1">IF(M117="",FALSE,VLOOKUP(M117,OFFSET(設定!$D$2:$I$25,0,AA117),4,FALSE))</f>
        <v>0</v>
      </c>
      <c r="AA117">
        <f t="shared" si="115"/>
        <v>7</v>
      </c>
      <c r="AB117" s="1" t="str">
        <f ca="1">IF(M117="","",IF(AND(Z117,N117="〇"),IF(VLOOKUP(M117,OFFSET(設定!$D$2:$I$25,0,AA117),5,FALSE)="-","-",LEFT(VLOOKUP(M117,OFFSET(設定!$D$2:$I$25,0,AA117),5,FALSE),INT(LEN(VLOOKUP(M117,OFFSET(設定!$D$2:$I$25,0,AA117),5,FALSE))-1))),IF(VLOOKUP(M117,OFFSET(設定!$D$2:$I$25,0,AA117),5,FALSE)="-","-",INT(VLOOKUP(M117,OFFSET(設定!$D$2:$I$25,0,AA117),5,FALSE)))))</f>
        <v/>
      </c>
      <c r="AC117" s="1" t="str">
        <f ca="1">IF(M117="","",IF(AND(Z117,N117="〇"),IF(VLOOKUP(M117,OFFSET(設定!$D$2:$I$25,0,AA117),6,FALSE)="-","-",LEFT(VLOOKUP(M117,OFFSET(設定!$D$2:$I$25,0,AA117),6,FALSE),INT(LEN(VLOOKUP(M117,OFFSET(設定!$D$2:$I$25,0,AA117),6,FALSE))-1))),IF(VLOOKUP(M117,OFFSET(設定!$D$2:$I$25,0,AA117),6,FALSE)="-","-",INT(VLOOKUP(M117,OFFSET(設定!$D$2:$I$25,0,AA117),6,FALSE)))))</f>
        <v/>
      </c>
      <c r="AD117">
        <f t="shared" si="116"/>
        <v>2</v>
      </c>
      <c r="AE117" t="str">
        <f t="shared" ca="1" si="93"/>
        <v/>
      </c>
      <c r="AF117" t="str">
        <f t="shared" ca="1" si="94"/>
        <v/>
      </c>
      <c r="AG117" t="str">
        <f t="shared" ca="1" si="95"/>
        <v/>
      </c>
      <c r="AH117" t="b">
        <f t="shared" ca="1" si="96"/>
        <v>1</v>
      </c>
      <c r="AI117" t="b">
        <f t="shared" ca="1" si="97"/>
        <v>0</v>
      </c>
      <c r="AJ117" t="b">
        <f t="shared" ca="1" si="98"/>
        <v>0</v>
      </c>
      <c r="AK117" t="b">
        <f t="shared" si="99"/>
        <v>0</v>
      </c>
      <c r="AL117" t="b">
        <f t="shared" si="100"/>
        <v>0</v>
      </c>
      <c r="AM117" t="b">
        <f t="shared" si="101"/>
        <v>0</v>
      </c>
      <c r="AN117" t="b">
        <f t="shared" si="102"/>
        <v>0</v>
      </c>
      <c r="AO117" t="b">
        <f>IF(COUNTIF($D$6:D116,F117&amp;G117&amp;W117)&gt;0,AK117,FALSE)</f>
        <v>0</v>
      </c>
      <c r="AP117" t="b">
        <f t="shared" ca="1" si="117"/>
        <v>0</v>
      </c>
      <c r="AQ117" t="b">
        <f t="shared" si="103"/>
        <v>0</v>
      </c>
      <c r="AR117" t="b">
        <f t="shared" si="104"/>
        <v>0</v>
      </c>
      <c r="AS117" t="b">
        <f t="shared" ca="1" si="105"/>
        <v>0</v>
      </c>
      <c r="AT117" t="b">
        <f t="shared" ca="1" si="106"/>
        <v>0</v>
      </c>
      <c r="AU117" t="b">
        <f ca="1">IF(COUNTIF(設定!$B$6:$B$11,SUMIF($B$6:B116,G117&amp;W117,$C$6:C116)+IF(AI117,10,IF(AJ117,1,0)))=1,FALSE,AK117)</f>
        <v>0</v>
      </c>
      <c r="AV117" t="b">
        <f t="shared" ca="1" si="107"/>
        <v>0</v>
      </c>
      <c r="AW117" t="b">
        <f t="shared" ca="1" si="108"/>
        <v>0</v>
      </c>
      <c r="AX117" t="b">
        <f t="shared" si="109"/>
        <v>0</v>
      </c>
      <c r="AY117" t="b">
        <f t="shared" si="110"/>
        <v>0</v>
      </c>
      <c r="AZ117" t="b">
        <f t="shared" si="111"/>
        <v>0</v>
      </c>
      <c r="BA117" t="b">
        <f>IF(AND(設定!$B$2&lt;=T117,T117&lt;=設定!$B$3),FALSE,AK117)</f>
        <v>0</v>
      </c>
      <c r="BC117">
        <f t="shared" ca="1" si="112"/>
        <v>0</v>
      </c>
      <c r="BD117">
        <f t="shared" si="118"/>
        <v>112</v>
      </c>
      <c r="BE117" t="str">
        <f t="shared" si="113"/>
        <v/>
      </c>
      <c r="BF117">
        <f>IF(BG117&lt;&gt;"",MAX($BF$6:BF116)+1,0)</f>
        <v>0</v>
      </c>
      <c r="BG117" t="str">
        <f>IF(BE117&lt;&gt;"",IF(COUNTIF($BE$6:BE116,BE117)&gt;0,"",BE117),"")</f>
        <v/>
      </c>
      <c r="BH117" t="str">
        <f t="shared" si="114"/>
        <v/>
      </c>
      <c r="BI117">
        <f>IF(BJ117&lt;&gt;"",MAX($BI$6:BI116)+1,0)</f>
        <v>0</v>
      </c>
      <c r="BJ117" t="str">
        <f>IF(BH117&lt;&gt;"",IF(COUNTIF($BE$6:BH116,BH117)&gt;0,"",BH117),"")</f>
        <v/>
      </c>
    </row>
    <row r="118" spans="1:62" ht="16.5" customHeight="1">
      <c r="A118" t="str">
        <f t="shared" si="85"/>
        <v/>
      </c>
      <c r="B118" t="str">
        <f t="shared" si="86"/>
        <v/>
      </c>
      <c r="C118">
        <f t="shared" ca="1" si="87"/>
        <v>0</v>
      </c>
      <c r="D118" t="str">
        <f t="shared" si="88"/>
        <v/>
      </c>
      <c r="E118">
        <f>IF(B118="",0,LARGE($E$5:E117,1)+1)</f>
        <v>0</v>
      </c>
      <c r="F118" s="44"/>
      <c r="G118" s="45"/>
      <c r="H118" s="7" t="str">
        <f>IF(AND(F118="",G118=""),"",VLOOKUP(学校情報!$B$5&amp;F118&amp;G118,選手データ!$A:$H,4,FALSE))</f>
        <v/>
      </c>
      <c r="I118" s="7" t="str">
        <f>IF(AND(F118="",G118=""),"",VLOOKUP(学校情報!$B$5&amp;F118&amp;G118,選手データ!$A:$H,5,FALSE))</f>
        <v/>
      </c>
      <c r="J118" s="8" t="str">
        <f>IF(AND(F118="",G118=""),"",VLOOKUP(学校情報!$B$5&amp;F118&amp;G118,選手データ!$A:$H,6,FALSE))</f>
        <v/>
      </c>
      <c r="K118" s="32" t="str">
        <f>IF(AND(F118="",G118=""),"",VLOOKUP(学校情報!$B$5&amp;F118&amp;G118,選手データ!$A:$H,8,FALSE))</f>
        <v/>
      </c>
      <c r="L118" s="7" t="str">
        <f>IF(AND(F118="",G118=""),"",VLOOKUP(学校情報!$B$5&amp;F118&amp;G118,選手データ!$A:$I,9,FALSE))</f>
        <v/>
      </c>
      <c r="M118" s="44"/>
      <c r="N118" s="46"/>
      <c r="O118" s="47"/>
      <c r="P118" s="7" t="str">
        <f t="shared" ca="1" si="89"/>
        <v/>
      </c>
      <c r="Q118" s="46"/>
      <c r="R118" s="48"/>
      <c r="S118" s="45"/>
      <c r="T118" s="49"/>
      <c r="U118" s="8" t="str">
        <f t="shared" ca="1" si="90"/>
        <v/>
      </c>
      <c r="V118" s="8" t="str">
        <f t="shared" si="91"/>
        <v/>
      </c>
      <c r="W118" s="4">
        <f t="shared" si="92"/>
        <v>0</v>
      </c>
      <c r="X118" t="b">
        <f ca="1">IF(M118="",FALSE,VLOOKUP(M118,OFFSET(設定!$D$2:$I$25,0,AA118),2,FALSE))</f>
        <v>0</v>
      </c>
      <c r="Y118" t="str">
        <f ca="1">IF(M118="","",VLOOKUP(M118,OFFSET(設定!$D$2:$I$25,0,AA118),3,FALSE))</f>
        <v/>
      </c>
      <c r="Z118" t="b">
        <f ca="1">IF(M118="",FALSE,VLOOKUP(M118,OFFSET(設定!$D$2:$I$25,0,AA118),4,FALSE))</f>
        <v>0</v>
      </c>
      <c r="AA118">
        <f t="shared" si="115"/>
        <v>7</v>
      </c>
      <c r="AB118" s="1" t="str">
        <f ca="1">IF(M118="","",IF(AND(Z118,N118="〇"),IF(VLOOKUP(M118,OFFSET(設定!$D$2:$I$25,0,AA118),5,FALSE)="-","-",LEFT(VLOOKUP(M118,OFFSET(設定!$D$2:$I$25,0,AA118),5,FALSE),INT(LEN(VLOOKUP(M118,OFFSET(設定!$D$2:$I$25,0,AA118),5,FALSE))-1))),IF(VLOOKUP(M118,OFFSET(設定!$D$2:$I$25,0,AA118),5,FALSE)="-","-",INT(VLOOKUP(M118,OFFSET(設定!$D$2:$I$25,0,AA118),5,FALSE)))))</f>
        <v/>
      </c>
      <c r="AC118" s="1" t="str">
        <f ca="1">IF(M118="","",IF(AND(Z118,N118="〇"),IF(VLOOKUP(M118,OFFSET(設定!$D$2:$I$25,0,AA118),6,FALSE)="-","-",LEFT(VLOOKUP(M118,OFFSET(設定!$D$2:$I$25,0,AA118),6,FALSE),INT(LEN(VLOOKUP(M118,OFFSET(設定!$D$2:$I$25,0,AA118),6,FALSE))-1))),IF(VLOOKUP(M118,OFFSET(設定!$D$2:$I$25,0,AA118),6,FALSE)="-","-",INT(VLOOKUP(M118,OFFSET(設定!$D$2:$I$25,0,AA118),6,FALSE)))))</f>
        <v/>
      </c>
      <c r="AD118">
        <f t="shared" si="116"/>
        <v>2</v>
      </c>
      <c r="AE118" t="str">
        <f t="shared" ca="1" si="93"/>
        <v/>
      </c>
      <c r="AF118" t="str">
        <f t="shared" ca="1" si="94"/>
        <v/>
      </c>
      <c r="AG118" t="str">
        <f t="shared" ca="1" si="95"/>
        <v/>
      </c>
      <c r="AH118" t="b">
        <f t="shared" ca="1" si="96"/>
        <v>1</v>
      </c>
      <c r="AI118" t="b">
        <f t="shared" ca="1" si="97"/>
        <v>0</v>
      </c>
      <c r="AJ118" t="b">
        <f t="shared" ca="1" si="98"/>
        <v>0</v>
      </c>
      <c r="AK118" t="b">
        <f t="shared" si="99"/>
        <v>0</v>
      </c>
      <c r="AL118" t="b">
        <f t="shared" si="100"/>
        <v>0</v>
      </c>
      <c r="AM118" t="b">
        <f t="shared" si="101"/>
        <v>0</v>
      </c>
      <c r="AN118" t="b">
        <f t="shared" si="102"/>
        <v>0</v>
      </c>
      <c r="AO118" t="b">
        <f>IF(COUNTIF($D$6:D117,F118&amp;G118&amp;W118)&gt;0,AK118,FALSE)</f>
        <v>0</v>
      </c>
      <c r="AP118" t="b">
        <f t="shared" ca="1" si="117"/>
        <v>0</v>
      </c>
      <c r="AQ118" t="b">
        <f t="shared" si="103"/>
        <v>0</v>
      </c>
      <c r="AR118" t="b">
        <f t="shared" si="104"/>
        <v>0</v>
      </c>
      <c r="AS118" t="b">
        <f t="shared" ca="1" si="105"/>
        <v>0</v>
      </c>
      <c r="AT118" t="b">
        <f t="shared" ca="1" si="106"/>
        <v>0</v>
      </c>
      <c r="AU118" t="b">
        <f ca="1">IF(COUNTIF(設定!$B$6:$B$11,SUMIF($B$6:B117,G118&amp;W118,$C$6:C117)+IF(AI118,10,IF(AJ118,1,0)))=1,FALSE,AK118)</f>
        <v>0</v>
      </c>
      <c r="AV118" t="b">
        <f t="shared" ca="1" si="107"/>
        <v>0</v>
      </c>
      <c r="AW118" t="b">
        <f t="shared" ca="1" si="108"/>
        <v>0</v>
      </c>
      <c r="AX118" t="b">
        <f t="shared" si="109"/>
        <v>0</v>
      </c>
      <c r="AY118" t="b">
        <f t="shared" si="110"/>
        <v>0</v>
      </c>
      <c r="AZ118" t="b">
        <f t="shared" si="111"/>
        <v>0</v>
      </c>
      <c r="BA118" t="b">
        <f>IF(AND(設定!$B$2&lt;=T118,T118&lt;=設定!$B$3),FALSE,AK118)</f>
        <v>0</v>
      </c>
      <c r="BC118">
        <f t="shared" ca="1" si="112"/>
        <v>0</v>
      </c>
      <c r="BD118">
        <f t="shared" si="118"/>
        <v>113</v>
      </c>
      <c r="BE118" t="str">
        <f t="shared" si="113"/>
        <v/>
      </c>
      <c r="BF118">
        <f>IF(BG118&lt;&gt;"",MAX($BF$6:BF117)+1,0)</f>
        <v>0</v>
      </c>
      <c r="BG118" t="str">
        <f>IF(BE118&lt;&gt;"",IF(COUNTIF($BE$6:BE117,BE118)&gt;0,"",BE118),"")</f>
        <v/>
      </c>
      <c r="BH118" t="str">
        <f t="shared" si="114"/>
        <v/>
      </c>
      <c r="BI118">
        <f>IF(BJ118&lt;&gt;"",MAX($BI$6:BI117)+1,0)</f>
        <v>0</v>
      </c>
      <c r="BJ118" t="str">
        <f>IF(BH118&lt;&gt;"",IF(COUNTIF($BE$6:BH117,BH118)&gt;0,"",BH118),"")</f>
        <v/>
      </c>
    </row>
    <row r="119" spans="1:62" ht="16.5" customHeight="1">
      <c r="A119" t="str">
        <f>IF(V119="〇",F119&amp;G119,"")</f>
        <v/>
      </c>
      <c r="B119" t="str">
        <f>IF(V119="〇",G119&amp;W119,"")</f>
        <v/>
      </c>
      <c r="C119">
        <f ca="1">IF(AI119,10,IF(AJ119,1,0))</f>
        <v>0</v>
      </c>
      <c r="D119" t="str">
        <f>IF(V119="〇",F119&amp;G119&amp;W119,"")</f>
        <v/>
      </c>
      <c r="E119">
        <f>IF(B119="",0,LARGE($E$5:E118,1)+1)</f>
        <v>0</v>
      </c>
      <c r="F119" s="44"/>
      <c r="G119" s="45"/>
      <c r="H119" s="7" t="str">
        <f>IF(AND(F119="",G119=""),"",VLOOKUP(学校情報!$B$5&amp;F119&amp;G119,選手データ!$A:$H,4,FALSE))</f>
        <v/>
      </c>
      <c r="I119" s="7" t="str">
        <f>IF(AND(F119="",G119=""),"",VLOOKUP(学校情報!$B$5&amp;F119&amp;G119,選手データ!$A:$H,5,FALSE))</f>
        <v/>
      </c>
      <c r="J119" s="8" t="str">
        <f>IF(AND(F119="",G119=""),"",VLOOKUP(学校情報!$B$5&amp;F119&amp;G119,選手データ!$A:$H,6,FALSE))</f>
        <v/>
      </c>
      <c r="K119" s="32" t="str">
        <f>IF(AND(F119="",G119=""),"",VLOOKUP(学校情報!$B$5&amp;F119&amp;G119,選手データ!$A:$H,8,FALSE))</f>
        <v/>
      </c>
      <c r="L119" s="7" t="str">
        <f>IF(AND(F119="",G119=""),"",VLOOKUP(学校情報!$B$5&amp;F119&amp;G119,選手データ!$A:$I,9,FALSE))</f>
        <v/>
      </c>
      <c r="M119" s="44"/>
      <c r="N119" s="46"/>
      <c r="O119" s="47"/>
      <c r="P119" s="7" t="str">
        <f ca="1">AE119&amp;AF119&amp;AG119</f>
        <v/>
      </c>
      <c r="Q119" s="46"/>
      <c r="R119" s="48"/>
      <c r="S119" s="45"/>
      <c r="T119" s="49"/>
      <c r="U119" s="8" t="str">
        <f ca="1">IF(AI119,"A",IF(AJ119,"B",""))</f>
        <v/>
      </c>
      <c r="V119" s="8" t="str">
        <f>IF(AK119,IF(COUNTIF(AL119:BB119,TRUE)&gt;0,"×","〇"),"")</f>
        <v/>
      </c>
      <c r="W119" s="4">
        <f>IF(ISNUMBER(FIND("(",M119)),LEFT(M119,FIND("(",M119)-1),M119)</f>
        <v>0</v>
      </c>
      <c r="X119" t="b">
        <f ca="1">IF(M119="",FALSE,VLOOKUP(M119,OFFSET(設定!$D$2:$I$25,0,AA119),2,FALSE))</f>
        <v>0</v>
      </c>
      <c r="Y119" t="str">
        <f ca="1">IF(M119="","",VLOOKUP(M119,OFFSET(設定!$D$2:$I$25,0,AA119),3,FALSE))</f>
        <v/>
      </c>
      <c r="Z119" t="b">
        <f ca="1">IF(M119="",FALSE,VLOOKUP(M119,OFFSET(設定!$D$2:$I$25,0,AA119),4,FALSE))</f>
        <v>0</v>
      </c>
      <c r="AA119">
        <f t="shared" si="115"/>
        <v>7</v>
      </c>
      <c r="AB119" s="1" t="str">
        <f ca="1">IF(M119="","",IF(AND(Z119,N119="〇"),IF(VLOOKUP(M119,OFFSET(設定!$D$2:$I$25,0,AA119),5,FALSE)="-","-",LEFT(VLOOKUP(M119,OFFSET(設定!$D$2:$I$25,0,AA119),5,FALSE),INT(LEN(VLOOKUP(M119,OFFSET(設定!$D$2:$I$25,0,AA119),5,FALSE))-1))),IF(VLOOKUP(M119,OFFSET(設定!$D$2:$I$25,0,AA119),5,FALSE)="-","-",INT(VLOOKUP(M119,OFFSET(設定!$D$2:$I$25,0,AA119),5,FALSE)))))</f>
        <v/>
      </c>
      <c r="AC119" s="1" t="str">
        <f ca="1">IF(M119="","",IF(AND(Z119,N119="〇"),IF(VLOOKUP(M119,OFFSET(設定!$D$2:$I$25,0,AA119),6,FALSE)="-","-",LEFT(VLOOKUP(M119,OFFSET(設定!$D$2:$I$25,0,AA119),6,FALSE),INT(LEN(VLOOKUP(M119,OFFSET(設定!$D$2:$I$25,0,AA119),6,FALSE))-1))),IF(VLOOKUP(M119,OFFSET(設定!$D$2:$I$25,0,AA119),6,FALSE)="-","-",INT(VLOOKUP(M119,OFFSET(設定!$D$2:$I$25,0,AA119),6,FALSE)))))</f>
        <v/>
      </c>
      <c r="AD119">
        <f t="shared" si="116"/>
        <v>2</v>
      </c>
      <c r="AE119" t="str">
        <f ca="1">IF(Y119="秒",IF(LEN(O119)&lt;=2,"",IF(LEN(O119)&gt;=3,LEFT(O119,LEN(O119)-2)&amp;"分"&amp;RIGHT(O119,2)&amp;"秒","")),"")</f>
        <v/>
      </c>
      <c r="AF119" t="str">
        <f ca="1">IF(Y119="ミリ秒",IF(LEN(O119)&gt;AD119,IF(LEN(O119)&lt;=AD119+2,LEFT(O119,LEN(O119)-AD119)&amp;"秒"&amp;RIGHT(O119,AD119),LEFT(O119,LEN(O119)-(AD119+2))&amp;"分"&amp;MID(O119,LEN(O119)-(AD119+2)+1,2)&amp;"秒"&amp;RIGHT(O119,AD119)),""),"")</f>
        <v/>
      </c>
      <c r="AG119" t="str">
        <f ca="1">IF(Y119="ｍ",IF(LEN(O119)&gt;=3,LEFT(O119,LEN(O119)-2)&amp;"ｍ"&amp;RIGHT(O119,2),""),"")</f>
        <v/>
      </c>
      <c r="AH119" t="b">
        <f ca="1">IF(X119,IF(OR(Q119="",R119=""),FALSE,IF(INT(Q119&amp;ROUNDUP(TEXT(R119,"0.0"),0))&lt;=2,TRUE,FALSE)),TRUE)</f>
        <v>1</v>
      </c>
      <c r="AI119" t="b">
        <f ca="1">IF(AND(NOT(AR119),NOT(AS119),AE119&amp;AF119&amp;AG119&lt;&gt;"",AB119&lt;&gt;"-"),IF(Y119="ｍ",IF(INT(AB119)&lt;=INT(O119),TRUE,FALSE),IF(INT(AB119)&gt;=INT(O119),TRUE,FALSE)),FALSE)</f>
        <v>0</v>
      </c>
      <c r="AJ119" t="b">
        <f ca="1">IF(AND(NOT(AR119),NOT(AS119),AE119&amp;AF119&amp;AG119&lt;&gt;""),IF(Y119="ｍ",IF(INT(AC119)&lt;=INT(O119),TRUE,FALSE),IF(INT(AC119)&gt;=INT(O119),TRUE,FALSE)),FALSE)</f>
        <v>0</v>
      </c>
      <c r="AK119" t="b">
        <f>IF(F119&amp;G119&amp;M119&amp;O119&amp;Q119&amp;R119&amp;S119&amp;T119&lt;&gt;"",TRUE,FALSE)</f>
        <v>0</v>
      </c>
      <c r="AL119" t="b">
        <f>IF(AND(AK119,F119=""),TRUE,FALSE)</f>
        <v>0</v>
      </c>
      <c r="AM119" t="b">
        <f>IF(AND(AK119,F119&lt;&gt;"",ISNA(H119)),TRUE,FALSE)</f>
        <v>0</v>
      </c>
      <c r="AN119" t="b">
        <f>IF(M119="",AK119,FALSE)</f>
        <v>0</v>
      </c>
      <c r="AO119" t="b">
        <f>IF(COUNTIF($D$6:D118,F119&amp;G119&amp;W119)&gt;0,AK119,FALSE)</f>
        <v>0</v>
      </c>
      <c r="AP119" t="b">
        <f t="shared" ca="1" si="117"/>
        <v>0</v>
      </c>
      <c r="AQ119" t="b">
        <f>IF(AND(AK119,O119=""),TRUE,FALSE)</f>
        <v>0</v>
      </c>
      <c r="AR119" t="b">
        <f>IF(ISNUMBER(O119),FALSE,AK119)</f>
        <v>0</v>
      </c>
      <c r="AS119" t="b">
        <f ca="1">IF(Y119="ｍ",FALSE,IF(LEN(O119)&gt;=AD119+2,IF(INT(LEFT(RIGHT(O119,AD119+2),2))&gt;=60,TRUE,FALSE),FALSE))</f>
        <v>0</v>
      </c>
      <c r="AT119" t="b">
        <f ca="1">IF(AND(NOT(AI119),NOT(AJ119)),AK119,FALSE)</f>
        <v>0</v>
      </c>
      <c r="AU119" t="b">
        <f ca="1">IF(COUNTIF(設定!$B$6:$B$11,SUMIF($B$6:B118,G119&amp;W119,$C$6:C118)+IF(AI119,10,IF(AJ119,1,0)))=1,FALSE,AK119)</f>
        <v>0</v>
      </c>
      <c r="AV119" t="b">
        <f ca="1">IF(AND(X119,OR(R119="",Q119="")),TRUE,FALSE)</f>
        <v>0</v>
      </c>
      <c r="AW119" t="b">
        <f ca="1">NOT(AH119)</f>
        <v>0</v>
      </c>
      <c r="AX119" t="b">
        <f>IF(AND(AK119,S119=""),TRUE,FALSE)</f>
        <v>0</v>
      </c>
      <c r="AY119" t="b">
        <f>IF(AND(AK119,T119=""),TRUE,FALSE)</f>
        <v>0</v>
      </c>
      <c r="AZ119" t="b">
        <f>IF(ISERROR(DAY(T119)),TRUE,FALSE)</f>
        <v>0</v>
      </c>
      <c r="BA119" t="b">
        <f>IF(AND(設定!$B$2&lt;=T119,T119&lt;=設定!$B$3),FALSE,AK119)</f>
        <v>0</v>
      </c>
      <c r="BC119">
        <f ca="1">IF(AI119,10,IF(AJ119,1,0))</f>
        <v>0</v>
      </c>
      <c r="BD119">
        <f t="shared" si="118"/>
        <v>114</v>
      </c>
      <c r="BE119" t="str">
        <f>IF(AND(V119="〇",G119="男"),F119&amp;G119,"")</f>
        <v/>
      </c>
      <c r="BF119">
        <f>IF(BG119&lt;&gt;"",MAX($BF$6:BF118)+1,0)</f>
        <v>0</v>
      </c>
      <c r="BG119" t="str">
        <f>IF(BE119&lt;&gt;"",IF(COUNTIF($BE$6:BE118,BE119)&gt;0,"",BE119),"")</f>
        <v/>
      </c>
      <c r="BH119" t="str">
        <f>IF(AND(V119="〇",G119="女"),F119&amp;G119,"")</f>
        <v/>
      </c>
      <c r="BI119">
        <f>IF(BJ119&lt;&gt;"",MAX($BI$6:BI118)+1,0)</f>
        <v>0</v>
      </c>
      <c r="BJ119" t="str">
        <f>IF(BH119&lt;&gt;"",IF(COUNTIF($BE$6:BH118,BH119)&gt;0,"",BH119),"")</f>
        <v/>
      </c>
    </row>
    <row r="120" spans="1:62">
      <c r="BE120" t="str">
        <f>IF(リレーチーム情報!B5&lt;&gt;"",リレーチーム情報!B5,"")</f>
        <v/>
      </c>
      <c r="BF120">
        <f>IF(BG120&lt;&gt;"",MAX($BF$6:BF119)+1,0)</f>
        <v>0</v>
      </c>
      <c r="BG120" t="str">
        <f>IF(BE120&lt;&gt;"",IF(COUNTIF($BE$6:BE119,BE120)&gt;0,"",BE120),"")</f>
        <v/>
      </c>
      <c r="BH120" t="str">
        <f>IF(リレーチーム情報!B17&lt;&gt;"",リレーチーム情報!B17,"")</f>
        <v/>
      </c>
      <c r="BI120">
        <f>IF(BJ120&lt;&gt;"",MAX($BI$6:BI119)+1,0)</f>
        <v>0</v>
      </c>
      <c r="BJ120" t="str">
        <f>IF(BH120&lt;&gt;"",IF(COUNTIF($BE$6:BH119,BH120)&gt;0,"",BH120),"")</f>
        <v/>
      </c>
    </row>
    <row r="121" spans="1:62">
      <c r="BE121" t="str">
        <f>IF(リレーチーム情報!B6&lt;&gt;"",リレーチーム情報!B6,"")</f>
        <v/>
      </c>
      <c r="BF121">
        <f>IF(BG121&lt;&gt;"",MAX($BF$6:BF120)+1,0)</f>
        <v>0</v>
      </c>
      <c r="BG121" t="str">
        <f>IF(BE121&lt;&gt;"",IF(COUNTIF($BE$6:BE120,BE121)&gt;0,"",BE121),"")</f>
        <v/>
      </c>
      <c r="BH121" t="str">
        <f>IF(リレーチーム情報!B18&lt;&gt;"",リレーチーム情報!B18,"")</f>
        <v/>
      </c>
      <c r="BI121">
        <f>IF(BJ121&lt;&gt;"",MAX($BI$6:BI120)+1,0)</f>
        <v>0</v>
      </c>
      <c r="BJ121" t="str">
        <f>IF(BH121&lt;&gt;"",IF(COUNTIF($BE$6:BH120,BH121)&gt;0,"",BH121),"")</f>
        <v/>
      </c>
    </row>
    <row r="122" spans="1:62">
      <c r="BE122" t="str">
        <f>IF(リレーチーム情報!B7&lt;&gt;"",リレーチーム情報!B7,"")</f>
        <v/>
      </c>
      <c r="BF122">
        <f>IF(BG122&lt;&gt;"",MAX($BF$6:BF121)+1,0)</f>
        <v>0</v>
      </c>
      <c r="BG122" t="str">
        <f>IF(BE122&lt;&gt;"",IF(COUNTIF($BE$6:BE121,BE122)&gt;0,"",BE122),"")</f>
        <v/>
      </c>
      <c r="BH122" t="str">
        <f>IF(リレーチーム情報!B19&lt;&gt;"",リレーチーム情報!B19,"")</f>
        <v/>
      </c>
      <c r="BI122">
        <f>IF(BJ122&lt;&gt;"",MAX($BI$6:BI121)+1,0)</f>
        <v>0</v>
      </c>
      <c r="BJ122" t="str">
        <f>IF(BH122&lt;&gt;"",IF(COUNTIF($BE$6:BH121,BH122)&gt;0,"",BH122),"")</f>
        <v/>
      </c>
    </row>
    <row r="123" spans="1:62">
      <c r="BE123" t="str">
        <f>IF(リレーチーム情報!B8&lt;&gt;"",リレーチーム情報!B8,"")</f>
        <v/>
      </c>
      <c r="BF123">
        <f>IF(BG123&lt;&gt;"",MAX($BF$6:BF122)+1,0)</f>
        <v>0</v>
      </c>
      <c r="BG123" t="str">
        <f>IF(BE123&lt;&gt;"",IF(COUNTIF($BE$6:BE122,BE123)&gt;0,"",BE123),"")</f>
        <v/>
      </c>
      <c r="BH123" t="str">
        <f>IF(リレーチーム情報!B20&lt;&gt;"",リレーチーム情報!B20,"")</f>
        <v/>
      </c>
      <c r="BI123">
        <f>IF(BJ123&lt;&gt;"",MAX($BI$6:BI122)+1,0)</f>
        <v>0</v>
      </c>
      <c r="BJ123" t="str">
        <f>IF(BH123&lt;&gt;"",IF(COUNTIF($BE$6:BH122,BH123)&gt;0,"",BH123),"")</f>
        <v/>
      </c>
    </row>
    <row r="124" spans="1:62">
      <c r="BE124" t="str">
        <f>IF(リレーチーム情報!B9&lt;&gt;"",リレーチーム情報!B9,"")</f>
        <v/>
      </c>
      <c r="BF124">
        <f>IF(BG124&lt;&gt;"",MAX($BF$6:BF123)+1,0)</f>
        <v>0</v>
      </c>
      <c r="BG124" t="str">
        <f>IF(BE124&lt;&gt;"",IF(COUNTIF($BE$6:BE123,BE124)&gt;0,"",BE124),"")</f>
        <v/>
      </c>
      <c r="BH124" t="str">
        <f>IF(リレーチーム情報!B21&lt;&gt;"",リレーチーム情報!B21,"")</f>
        <v/>
      </c>
      <c r="BI124">
        <f>IF(BJ124&lt;&gt;"",MAX($BI$6:BI123)+1,0)</f>
        <v>0</v>
      </c>
      <c r="BJ124" t="str">
        <f>IF(BH124&lt;&gt;"",IF(COUNTIF($BE$6:BH123,BH124)&gt;0,"",BH124),"")</f>
        <v/>
      </c>
    </row>
    <row r="125" spans="1:62">
      <c r="BE125" t="str">
        <f>IF(リレーチーム情報!B10&lt;&gt;"",リレーチーム情報!B10,"")</f>
        <v/>
      </c>
      <c r="BF125">
        <f>IF(BG125&lt;&gt;"",MAX($BF$6:BF124)+1,0)</f>
        <v>0</v>
      </c>
      <c r="BG125" t="str">
        <f>IF(BE125&lt;&gt;"",IF(COUNTIF($BE$6:BE124,BE125)&gt;0,"",BE125),"")</f>
        <v/>
      </c>
      <c r="BH125" t="str">
        <f>IF(リレーチーム情報!B22&lt;&gt;"",リレーチーム情報!B22,"")</f>
        <v/>
      </c>
      <c r="BI125">
        <f>IF(BJ125&lt;&gt;"",MAX($BI$6:BI124)+1,0)</f>
        <v>0</v>
      </c>
      <c r="BJ125" t="str">
        <f>IF(BH125&lt;&gt;"",IF(COUNTIF($BE$6:BH124,BH125)&gt;0,"",BH125),"")</f>
        <v/>
      </c>
    </row>
    <row r="126" spans="1:62">
      <c r="BE126" t="str">
        <f>IF(リレーチーム情報!B11&lt;&gt;"",リレーチーム情報!B11,"")</f>
        <v/>
      </c>
      <c r="BF126">
        <f>IF(BG126&lt;&gt;"",MAX($BF$6:BF125)+1,0)</f>
        <v>0</v>
      </c>
      <c r="BG126" t="str">
        <f>IF(BE126&lt;&gt;"",IF(COUNTIF($BE$6:BE125,BE126)&gt;0,"",BE126),"")</f>
        <v/>
      </c>
      <c r="BH126" t="str">
        <f>IF(リレーチーム情報!B23&lt;&gt;"",リレーチーム情報!B23,"")</f>
        <v/>
      </c>
      <c r="BI126">
        <f>IF(BJ126&lt;&gt;"",MAX($BI$6:BI125)+1,0)</f>
        <v>0</v>
      </c>
      <c r="BJ126" t="str">
        <f>IF(BH126&lt;&gt;"",IF(COUNTIF($BE$6:BH125,BH126)&gt;0,"",BH126),"")</f>
        <v/>
      </c>
    </row>
    <row r="127" spans="1:62">
      <c r="BE127" t="str">
        <f>IF(リレーチーム情報!B12&lt;&gt;"",リレーチーム情報!B12,"")</f>
        <v/>
      </c>
      <c r="BF127">
        <f>IF(BG127&lt;&gt;"",MAX($BF$6:BF126)+1,0)</f>
        <v>0</v>
      </c>
      <c r="BG127" t="str">
        <f>IF(BE127&lt;&gt;"",IF(COUNTIF($BE$6:BE126,BE127)&gt;0,"",BE127),"")</f>
        <v/>
      </c>
      <c r="BH127" t="str">
        <f>IF(リレーチーム情報!B24&lt;&gt;"",リレーチーム情報!B24,"")</f>
        <v/>
      </c>
      <c r="BI127">
        <f>IF(BJ127&lt;&gt;"",MAX($BI$6:BI126)+1,0)</f>
        <v>0</v>
      </c>
      <c r="BJ127" t="str">
        <f>IF(BH127&lt;&gt;"",IF(COUNTIF($BE$6:BH126,BH127)&gt;0,"",BH127),"")</f>
        <v/>
      </c>
    </row>
    <row r="128" spans="1:62">
      <c r="BE128" t="str">
        <f>IF(リレーチーム情報!B13&lt;&gt;"",リレーチーム情報!B13,"")</f>
        <v/>
      </c>
      <c r="BF128">
        <f>IF(BG128&lt;&gt;"",MAX($BF$6:BF127)+1,0)</f>
        <v>0</v>
      </c>
      <c r="BG128" t="str">
        <f>IF(BE128&lt;&gt;"",IF(COUNTIF($BE$6:BE127,BE128)&gt;0,"",BE128),"")</f>
        <v/>
      </c>
      <c r="BH128" t="str">
        <f>IF(リレーチーム情報!B25&lt;&gt;"",リレーチーム情報!B25,"")</f>
        <v/>
      </c>
      <c r="BI128">
        <f>IF(BJ128&lt;&gt;"",MAX($BI$6:BI127)+1,0)</f>
        <v>0</v>
      </c>
      <c r="BJ128" t="str">
        <f>IF(BH128&lt;&gt;"",IF(COUNTIF($BE$6:BH127,BH128)&gt;0,"",BH128),"")</f>
        <v/>
      </c>
    </row>
    <row r="129" spans="57:62">
      <c r="BE129" t="str">
        <f>IF(リレーチーム情報!B14&lt;&gt;"",リレーチーム情報!B14,"")</f>
        <v/>
      </c>
      <c r="BF129">
        <f>IF(BG129&lt;&gt;"",MAX($BF$6:BF128)+1,0)</f>
        <v>0</v>
      </c>
      <c r="BG129" t="str">
        <f>IF(BE129&lt;&gt;"",IF(COUNTIF($BE$6:BE128,BE129)&gt;0,"",BE129),"")</f>
        <v/>
      </c>
      <c r="BH129" t="str">
        <f>IF(リレーチーム情報!B26&lt;&gt;"",リレーチーム情報!B26,"")</f>
        <v/>
      </c>
      <c r="BI129">
        <f>IF(BJ129&lt;&gt;"",MAX($BI$6:BI128)+1,0)</f>
        <v>0</v>
      </c>
      <c r="BJ129" t="str">
        <f>IF(BH129&lt;&gt;"",IF(COUNTIF($BE$6:BH128,BH129)&gt;0,"",BH129),"")</f>
        <v/>
      </c>
    </row>
    <row r="130" spans="57:62">
      <c r="BE130" t="str">
        <f>IF(リレーチーム情報!B15&lt;&gt;"",リレーチーム情報!B15,"")</f>
        <v/>
      </c>
      <c r="BF130">
        <f>IF(BG130&lt;&gt;"",MAX($BF$6:BF129)+1,0)</f>
        <v>0</v>
      </c>
      <c r="BG130" t="str">
        <f>IF(BE130&lt;&gt;"",IF(COUNTIF($BE$6:BE129,BE130)&gt;0,"",BE130),"")</f>
        <v/>
      </c>
      <c r="BH130" t="str">
        <f>IF(リレーチーム情報!B27&lt;&gt;"",リレーチーム情報!B27,"")</f>
        <v/>
      </c>
      <c r="BI130">
        <f>IF(BJ130&lt;&gt;"",MAX($BI$6:BI129)+1,0)</f>
        <v>0</v>
      </c>
      <c r="BJ130" t="str">
        <f>IF(BH130&lt;&gt;"",IF(COUNTIF($BE$6:BH129,BH130)&gt;0,"",BH130),"")</f>
        <v/>
      </c>
    </row>
    <row r="131" spans="57:62">
      <c r="BE131" t="str">
        <f>IF(リレーチーム情報!B16&lt;&gt;"",リレーチーム情報!B16,"")</f>
        <v/>
      </c>
      <c r="BF131">
        <f>IF(BG131&lt;&gt;"",MAX($BF$6:BF130)+1,0)</f>
        <v>0</v>
      </c>
      <c r="BG131" t="str">
        <f>IF(BE131&lt;&gt;"",IF(COUNTIF($BE$6:BE130,BE131)&gt;0,"",BE131),"")</f>
        <v/>
      </c>
      <c r="BH131" t="str">
        <f>IF(リレーチーム情報!B28&lt;&gt;"",リレーチーム情報!B28,"")</f>
        <v/>
      </c>
      <c r="BI131">
        <f>IF(BJ131&lt;&gt;"",MAX($BI$6:BI130)+1,0)</f>
        <v>0</v>
      </c>
      <c r="BJ131" t="str">
        <f>IF(BH131&lt;&gt;"",IF(COUNTIF($BE$6:BH130,BH131)&gt;0,"",BH131),"")</f>
        <v/>
      </c>
    </row>
  </sheetData>
  <sheetProtection password="E027" sheet="1" objects="1" scenarios="1" selectLockedCells="1"/>
  <mergeCells count="1">
    <mergeCell ref="Q4:R4"/>
  </mergeCells>
  <phoneticPr fontId="2"/>
  <conditionalFormatting sqref="F5:G5">
    <cfRule type="expression" dxfId="39" priority="1" stopIfTrue="1">
      <formula>AL5</formula>
    </cfRule>
  </conditionalFormatting>
  <conditionalFormatting sqref="M5">
    <cfRule type="expression" dxfId="38" priority="2" stopIfTrue="1">
      <formula>AO5</formula>
    </cfRule>
  </conditionalFormatting>
  <conditionalFormatting sqref="T7:T119">
    <cfRule type="expression" dxfId="37" priority="3" stopIfTrue="1">
      <formula>AY7</formula>
    </cfRule>
    <cfRule type="expression" dxfId="36" priority="4" stopIfTrue="1">
      <formula>BA7</formula>
    </cfRule>
  </conditionalFormatting>
  <conditionalFormatting sqref="T5:T6">
    <cfRule type="expression" dxfId="35" priority="5" stopIfTrue="1">
      <formula>AY5</formula>
    </cfRule>
    <cfRule type="expression" dxfId="34" priority="6" stopIfTrue="1">
      <formula>AZ5</formula>
    </cfRule>
    <cfRule type="expression" dxfId="33" priority="7" stopIfTrue="1">
      <formula>BA5</formula>
    </cfRule>
  </conditionalFormatting>
  <conditionalFormatting sqref="N5:N119">
    <cfRule type="expression" dxfId="32" priority="8" stopIfTrue="1">
      <formula>Z5</formula>
    </cfRule>
  </conditionalFormatting>
  <conditionalFormatting sqref="F6:F119">
    <cfRule type="expression" dxfId="31" priority="9" stopIfTrue="1">
      <formula>OR(AL6,AM6)</formula>
    </cfRule>
  </conditionalFormatting>
  <conditionalFormatting sqref="Q6:Q119">
    <cfRule type="expression" dxfId="30" priority="10" stopIfTrue="1">
      <formula>AW6</formula>
    </cfRule>
    <cfRule type="expression" dxfId="29" priority="11" stopIfTrue="1">
      <formula>AH6=FALSE</formula>
    </cfRule>
    <cfRule type="expression" dxfId="28" priority="12" stopIfTrue="1">
      <formula>X6</formula>
    </cfRule>
  </conditionalFormatting>
  <conditionalFormatting sqref="R6:R119">
    <cfRule type="expression" dxfId="27" priority="13" stopIfTrue="1">
      <formula>AW6</formula>
    </cfRule>
    <cfRule type="expression" dxfId="26" priority="14" stopIfTrue="1">
      <formula>AH6=FALSE</formula>
    </cfRule>
    <cfRule type="expression" dxfId="25" priority="15" stopIfTrue="1">
      <formula>X6</formula>
    </cfRule>
  </conditionalFormatting>
  <conditionalFormatting sqref="O5">
    <cfRule type="expression" dxfId="24" priority="16" stopIfTrue="1">
      <formula>OR($AQ5,$AR5,$AS5)</formula>
    </cfRule>
  </conditionalFormatting>
  <conditionalFormatting sqref="S5:S119">
    <cfRule type="expression" dxfId="23" priority="17" stopIfTrue="1">
      <formula>AX5</formula>
    </cfRule>
  </conditionalFormatting>
  <conditionalFormatting sqref="G6:G119">
    <cfRule type="expression" dxfId="22" priority="18" stopIfTrue="1">
      <formula>OR(AL6,AM6)</formula>
    </cfRule>
  </conditionalFormatting>
  <conditionalFormatting sqref="O6:O119">
    <cfRule type="expression" dxfId="21" priority="20" stopIfTrue="1">
      <formula>OR($AQ6,$AR6,$AS6,$AT6,$AU6)</formula>
    </cfRule>
  </conditionalFormatting>
  <conditionalFormatting sqref="M6:M119">
    <cfRule type="expression" dxfId="20" priority="40" stopIfTrue="1">
      <formula>OR(AN6,AO6,AP6)</formula>
    </cfRule>
  </conditionalFormatting>
  <dataValidations count="5">
    <dataValidation imeMode="off" allowBlank="1" showInputMessage="1" showErrorMessage="1" sqref="O6:O119 R6:R119"/>
    <dataValidation type="list" allowBlank="1" showInputMessage="1" showErrorMessage="1" sqref="N6:N119">
      <formula1>$BM$5:$BM$6</formula1>
    </dataValidation>
    <dataValidation type="list" allowBlank="1" showInputMessage="1" showErrorMessage="1" sqref="Q6:Q119">
      <formula1>$BN$5:$BN$7</formula1>
    </dataValidation>
    <dataValidation type="list" allowBlank="1" showInputMessage="1" showErrorMessage="1" sqref="G6:G119">
      <formula1>$BO$5:$BO$7</formula1>
    </dataValidation>
    <dataValidation type="list" allowBlank="1" showInputMessage="1" showErrorMessage="1" sqref="M6:M119">
      <formula1>IF(G6="女",女子種目,男子種目)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opLeftCell="G1" workbookViewId="0">
      <selection activeCell="I17" sqref="I17"/>
    </sheetView>
  </sheetViews>
  <sheetFormatPr defaultRowHeight="13.5"/>
  <cols>
    <col min="1" max="6" width="9" hidden="1" customWidth="1"/>
    <col min="7" max="7" width="12.625" customWidth="1"/>
    <col min="10" max="11" width="16.875" customWidth="1"/>
    <col min="12" max="12" width="5.25" bestFit="1" customWidth="1"/>
    <col min="13" max="13" width="13.25" bestFit="1" customWidth="1"/>
    <col min="15" max="15" width="7.75" customWidth="1"/>
    <col min="17" max="17" width="11.5" bestFit="1" customWidth="1"/>
    <col min="18" max="18" width="15.25" bestFit="1" customWidth="1"/>
    <col min="19" max="19" width="11.625" bestFit="1" customWidth="1"/>
    <col min="20" max="20" width="5.25" bestFit="1" customWidth="1"/>
    <col min="21" max="22" width="9" hidden="1" customWidth="1"/>
    <col min="23" max="26" width="13" hidden="1" customWidth="1"/>
    <col min="27" max="34" width="9" hidden="1" customWidth="1"/>
  </cols>
  <sheetData>
    <row r="1" spans="1:34" ht="21">
      <c r="G1" s="31" t="str">
        <f>設定!B1</f>
        <v>第６８回西日本学生陸上競技対校選手権大会</v>
      </c>
      <c r="AA1">
        <f>IF(AA2=0,0,1)</f>
        <v>0</v>
      </c>
      <c r="AB1">
        <f t="shared" ref="AB1:AH1" si="0">IF(AB2=0,0,1)</f>
        <v>0</v>
      </c>
      <c r="AC1">
        <f t="shared" si="0"/>
        <v>0</v>
      </c>
      <c r="AD1">
        <f t="shared" si="0"/>
        <v>0</v>
      </c>
      <c r="AE1">
        <f t="shared" si="0"/>
        <v>0</v>
      </c>
      <c r="AF1">
        <f t="shared" si="0"/>
        <v>0</v>
      </c>
      <c r="AG1">
        <f t="shared" si="0"/>
        <v>0</v>
      </c>
      <c r="AH1">
        <f t="shared" si="0"/>
        <v>0</v>
      </c>
    </row>
    <row r="2" spans="1:34" ht="21">
      <c r="G2" s="31" t="s">
        <v>215</v>
      </c>
      <c r="U2" t="s">
        <v>308</v>
      </c>
      <c r="AA2">
        <f>COUNTIF(AA5:AA28,TRUE)</f>
        <v>0</v>
      </c>
      <c r="AB2">
        <f t="shared" ref="AB2:AG2" si="1">COUNTIF(AB5:AB28,TRUE)</f>
        <v>0</v>
      </c>
      <c r="AC2">
        <f t="shared" si="1"/>
        <v>0</v>
      </c>
      <c r="AD2">
        <f t="shared" si="1"/>
        <v>0</v>
      </c>
      <c r="AE2">
        <f t="shared" si="1"/>
        <v>0</v>
      </c>
      <c r="AF2">
        <f t="shared" si="1"/>
        <v>0</v>
      </c>
      <c r="AG2">
        <f t="shared" si="1"/>
        <v>0</v>
      </c>
      <c r="AH2">
        <f>COUNTIF(AH5:AH28,TRUE)</f>
        <v>0</v>
      </c>
    </row>
    <row r="3" spans="1:34" ht="21">
      <c r="H3" s="50" t="str">
        <f>IF(ISNA(HLOOKUP(1,AA1:AH3,3,FALSE)),"",HLOOKUP(1,AA1:AH3,3,FALSE))</f>
        <v/>
      </c>
      <c r="AA3" t="s">
        <v>153</v>
      </c>
      <c r="AB3" t="s">
        <v>219</v>
      </c>
      <c r="AC3" t="s">
        <v>222</v>
      </c>
      <c r="AD3" t="s">
        <v>224</v>
      </c>
      <c r="AE3" t="s">
        <v>93</v>
      </c>
      <c r="AF3" t="s">
        <v>309</v>
      </c>
      <c r="AG3" t="s">
        <v>310</v>
      </c>
      <c r="AH3" t="str">
        <f>"競技会の日付は "&amp;TEXT(設定!B2,"yyyy/m/d")&amp;" ～ "&amp;TEXT(設定!B3,"yyyy/m/d")&amp;" である必要があります。"</f>
        <v>競技会の日付は 2014/4/1 ～ 2015/8/1 である必要があります。</v>
      </c>
    </row>
    <row r="4" spans="1:34">
      <c r="G4" s="6" t="s">
        <v>216</v>
      </c>
      <c r="H4" s="6" t="s">
        <v>142</v>
      </c>
      <c r="I4" s="6" t="s">
        <v>217</v>
      </c>
      <c r="J4" s="6" t="s">
        <v>15</v>
      </c>
      <c r="K4" s="6" t="s">
        <v>16</v>
      </c>
      <c r="L4" s="6" t="s">
        <v>17</v>
      </c>
      <c r="M4" s="6" t="s">
        <v>163</v>
      </c>
      <c r="N4" s="6" t="s">
        <v>23</v>
      </c>
      <c r="O4" s="6" t="s">
        <v>72</v>
      </c>
      <c r="P4" s="6" t="s">
        <v>223</v>
      </c>
      <c r="Q4" s="6" t="s">
        <v>223</v>
      </c>
      <c r="R4" s="6" t="s">
        <v>26</v>
      </c>
      <c r="S4" s="6" t="s">
        <v>27</v>
      </c>
      <c r="T4" s="6" t="s">
        <v>101</v>
      </c>
      <c r="U4" s="62" t="s">
        <v>221</v>
      </c>
      <c r="V4" s="61" t="s">
        <v>75</v>
      </c>
      <c r="W4" s="60" t="s">
        <v>220</v>
      </c>
      <c r="X4" s="60" t="s">
        <v>71</v>
      </c>
      <c r="Y4" s="60" t="s">
        <v>69</v>
      </c>
      <c r="Z4" s="60"/>
      <c r="AA4" t="s">
        <v>105</v>
      </c>
      <c r="AB4" t="s">
        <v>218</v>
      </c>
      <c r="AC4" s="60" t="s">
        <v>78</v>
      </c>
      <c r="AD4" t="s">
        <v>95</v>
      </c>
      <c r="AE4" t="s">
        <v>94</v>
      </c>
      <c r="AF4" t="s">
        <v>80</v>
      </c>
      <c r="AG4" t="s">
        <v>225</v>
      </c>
      <c r="AH4" t="s">
        <v>102</v>
      </c>
    </row>
    <row r="5" spans="1:34" ht="16.5" customHeight="1">
      <c r="A5">
        <f>IF(B5&lt;&gt;"",1,0)</f>
        <v>0</v>
      </c>
      <c r="B5" t="str">
        <f t="shared" ref="B5:B10" si="2">IF(AND($T$5="〇",I5&lt;&gt;""),I5&amp;$H$5,"")</f>
        <v/>
      </c>
      <c r="G5" s="167" t="s">
        <v>149</v>
      </c>
      <c r="H5" s="167" t="s">
        <v>143</v>
      </c>
      <c r="I5" s="92"/>
      <c r="J5" s="67" t="str">
        <f>IF(I5="","",VLOOKUP(学校情報!$B$5&amp;I5&amp;H5,選手データ!$A:$H,4,FALSE))</f>
        <v/>
      </c>
      <c r="K5" s="67" t="str">
        <f>IF(I5="","",VLOOKUP(学校情報!$B$5&amp;I5&amp;H5,選手データ!$A:$H,5,FALSE))</f>
        <v/>
      </c>
      <c r="L5" s="68" t="str">
        <f>IF(I5="","",VLOOKUP(学校情報!$B$5&amp;I5&amp;H5,選手データ!$A:$H,6,FALSE))</f>
        <v/>
      </c>
      <c r="M5" s="69" t="str">
        <f>IF(I5="","",VLOOKUP(学校情報!$B$5&amp;I5&amp;H5,選手データ!$A:$H,8,FALSE))</f>
        <v/>
      </c>
      <c r="N5" s="68" t="str">
        <f>IF(I5="","",VLOOKUP(学校情報!$B$5&amp;I5&amp;H5,選手データ!$A:$I,9,FALSE))</f>
        <v/>
      </c>
      <c r="O5" s="171"/>
      <c r="P5" s="171"/>
      <c r="Q5" s="167" t="str">
        <f>IF(LEN(P5)&gt;IF(O5="〇",1,2),IF(LEN(P5)&lt;=IF(O5="〇",1,2)+2,LEFT(P5,LEN(P5)-IF(O5="〇",1,2))&amp;"秒"&amp;RIGHT(P5,IF(O5="〇",1,2)),LEFT(P5,LEN(P5)-(IF(O5="〇",1,2)+2))&amp;"分"&amp;MID(P5,LEN(P5)-(IF(O5="〇",1,2)+2)+1,2)&amp;"秒"&amp;RIGHT(P5,IF(O5="〇",1,2))),"")</f>
        <v/>
      </c>
      <c r="R5" s="171"/>
      <c r="S5" s="164"/>
      <c r="T5" s="167" t="str">
        <f>IF(AND(V5,COUNTIF(AA5:AB10,TRUE)=0),IF(COUNTIF(AC5:AH10,TRUE)=0,"〇",""),"")</f>
        <v/>
      </c>
      <c r="U5">
        <f t="shared" ref="U5:U28" si="3">IF(AND(I5&lt;&gt;"",NOT(ISNA(J5))),1,0)</f>
        <v>0</v>
      </c>
      <c r="V5" s="156" t="b">
        <f>IF(I5&amp;I6&amp;I7&amp;I8&amp;I9&amp;I10&amp;P5&amp;R5&amp;S5="",FALSE,TRUE)</f>
        <v>0</v>
      </c>
      <c r="W5" s="156" t="b">
        <f>IF(AND(V5=TRUE,P5&amp;R5&amp;S5&lt;&gt;""),TRUE,FALSE)</f>
        <v>0</v>
      </c>
      <c r="X5" s="156">
        <f>IF(O5="〇",1,2)</f>
        <v>2</v>
      </c>
      <c r="Y5" s="156" t="str">
        <f>IF(LEN(P5)&gt;X5,IF(LEN(P5)&lt;=X5+2,LEFT(P5,LEN(P5)-X5)&amp;"秒"&amp;RIGHT(P5,X5),LEFT(P5,LEN(P5)-(X5+2))&amp;"分"&amp;MID(P5,LEN(P5)-(X5+2)+1,2)&amp;"秒"&amp;RIGHT(P5,X5)),"")</f>
        <v/>
      </c>
      <c r="Z5" s="59"/>
      <c r="AA5" t="b">
        <f>IF(ISNA(J5),V5,FALSE)</f>
        <v>0</v>
      </c>
      <c r="AB5" t="b">
        <f t="shared" ref="AB5:AB10" si="4">IF(AND(SUM($U$5:$U$10)&lt;4,U5=0),$V$5,FALSE)</f>
        <v>0</v>
      </c>
      <c r="AC5" s="156" t="b">
        <f>IF(Q5="",W5,FALSE)</f>
        <v>0</v>
      </c>
      <c r="AD5" s="156" t="b">
        <f>IF(OR(P5="",ISNUMBER(P5)),FALSE,W5)</f>
        <v>0</v>
      </c>
      <c r="AE5" s="156" t="b">
        <f>IF(LEN(P5)&gt;=X5+2,IF(INT(LEFT(RIGHT(P5,X5+2),2))&gt;=60,TRUE,FALSE),FALSE)</f>
        <v>0</v>
      </c>
      <c r="AF5" s="156" t="b">
        <f>IF(R5="",W5,FALSE)</f>
        <v>0</v>
      </c>
      <c r="AG5" s="156" t="b">
        <f>IF(S5="",W5,FALSE)</f>
        <v>0</v>
      </c>
      <c r="AH5" s="156" t="b">
        <f>IF(AND(設定!$B$2&lt;=S5,S5&lt;=設定!$B$3),FALSE,W5)</f>
        <v>0</v>
      </c>
    </row>
    <row r="6" spans="1:34" ht="16.5" customHeight="1">
      <c r="A6">
        <f>IF(B6&lt;&gt;"",MAX(A5:A5)+1,0)</f>
        <v>0</v>
      </c>
      <c r="B6" t="str">
        <f t="shared" si="2"/>
        <v/>
      </c>
      <c r="G6" s="167"/>
      <c r="H6" s="167"/>
      <c r="I6" s="92"/>
      <c r="J6" s="67" t="str">
        <f>IF(I6="","",VLOOKUP(学校情報!$B$5&amp;I6&amp;H5,選手データ!$A:$H,4,FALSE))</f>
        <v/>
      </c>
      <c r="K6" s="67" t="str">
        <f>IF(I6="","",VLOOKUP(学校情報!$B$5&amp;I6&amp;H5,選手データ!$A:$H,5,FALSE))</f>
        <v/>
      </c>
      <c r="L6" s="68" t="str">
        <f>IF(I6="","",VLOOKUP(学校情報!$B$5&amp;I6&amp;H5,選手データ!$A:$H,6,FALSE))</f>
        <v/>
      </c>
      <c r="M6" s="69" t="str">
        <f>IF(I6="","",VLOOKUP(学校情報!$B$5&amp;I6&amp;H5,選手データ!$A:$H,8,FALSE))</f>
        <v/>
      </c>
      <c r="N6" s="68" t="str">
        <f>IF(I6="","",VLOOKUP(学校情報!$B$5&amp;I6&amp;H5,選手データ!$A:$I,9,FALSE))</f>
        <v/>
      </c>
      <c r="O6" s="171"/>
      <c r="P6" s="171"/>
      <c r="Q6" s="167"/>
      <c r="R6" s="171"/>
      <c r="S6" s="165"/>
      <c r="T6" s="167"/>
      <c r="U6">
        <f t="shared" si="3"/>
        <v>0</v>
      </c>
      <c r="V6" s="156"/>
      <c r="W6" s="156"/>
      <c r="X6" s="156"/>
      <c r="Y6" s="156"/>
      <c r="Z6" s="59"/>
      <c r="AA6" t="b">
        <f>IF(ISNA(J6),V5,FALSE)</f>
        <v>0</v>
      </c>
      <c r="AB6" t="b">
        <f t="shared" si="4"/>
        <v>0</v>
      </c>
      <c r="AC6" s="156"/>
      <c r="AD6" s="156"/>
      <c r="AE6" s="156"/>
      <c r="AF6" s="156"/>
      <c r="AG6" s="156"/>
      <c r="AH6" s="156"/>
    </row>
    <row r="7" spans="1:34" ht="16.5" customHeight="1">
      <c r="A7">
        <f>IF(B7&lt;&gt;"",MAX(A5:A6)+1,0)</f>
        <v>0</v>
      </c>
      <c r="B7" t="str">
        <f t="shared" si="2"/>
        <v/>
      </c>
      <c r="G7" s="167"/>
      <c r="H7" s="167"/>
      <c r="I7" s="92"/>
      <c r="J7" s="67" t="str">
        <f>IF(I7="","",VLOOKUP(学校情報!$B$5&amp;I7&amp;H5,選手データ!$A:$H,4,FALSE))</f>
        <v/>
      </c>
      <c r="K7" s="67" t="str">
        <f>IF(I7="","",VLOOKUP(学校情報!$B$5&amp;I7&amp;H5,選手データ!$A:$H,5,FALSE))</f>
        <v/>
      </c>
      <c r="L7" s="68" t="str">
        <f>IF(I7="","",VLOOKUP(学校情報!$B$5&amp;I7&amp;H5,選手データ!$A:$H,6,FALSE))</f>
        <v/>
      </c>
      <c r="M7" s="69" t="str">
        <f>IF(I7="","",VLOOKUP(学校情報!$B$5&amp;I7&amp;H5,選手データ!$A:$H,8,FALSE))</f>
        <v/>
      </c>
      <c r="N7" s="68" t="str">
        <f>IF(I7="","",VLOOKUP(学校情報!$B$5&amp;I7&amp;H5,選手データ!$A:$I,9,FALSE))</f>
        <v/>
      </c>
      <c r="O7" s="171"/>
      <c r="P7" s="171"/>
      <c r="Q7" s="167"/>
      <c r="R7" s="171"/>
      <c r="S7" s="165"/>
      <c r="T7" s="167"/>
      <c r="U7">
        <f t="shared" si="3"/>
        <v>0</v>
      </c>
      <c r="V7" s="156"/>
      <c r="W7" s="156"/>
      <c r="X7" s="156"/>
      <c r="Y7" s="156"/>
      <c r="Z7" s="59"/>
      <c r="AA7" t="b">
        <f>IF(ISNA(J7),V5,FALSE)</f>
        <v>0</v>
      </c>
      <c r="AB7" t="b">
        <f t="shared" si="4"/>
        <v>0</v>
      </c>
      <c r="AC7" s="156"/>
      <c r="AD7" s="156"/>
      <c r="AE7" s="156"/>
      <c r="AF7" s="156"/>
      <c r="AG7" s="156"/>
      <c r="AH7" s="156"/>
    </row>
    <row r="8" spans="1:34" ht="16.5" customHeight="1">
      <c r="A8">
        <f>IF(B8&lt;&gt;"",MAX(A5:A7)+1,0)</f>
        <v>0</v>
      </c>
      <c r="B8" t="str">
        <f t="shared" si="2"/>
        <v/>
      </c>
      <c r="G8" s="167"/>
      <c r="H8" s="167"/>
      <c r="I8" s="92"/>
      <c r="J8" s="67" t="str">
        <f>IF(I8="","",VLOOKUP(学校情報!$B$5&amp;I8&amp;H5,選手データ!$A:$H,4,FALSE))</f>
        <v/>
      </c>
      <c r="K8" s="67" t="str">
        <f>IF(I8="","",VLOOKUP(学校情報!$B$5&amp;I8&amp;H5,選手データ!$A:$H,5,FALSE))</f>
        <v/>
      </c>
      <c r="L8" s="68" t="str">
        <f>IF(I8="","",VLOOKUP(学校情報!$B$5&amp;I8&amp;H5,選手データ!$A:$H,6,FALSE))</f>
        <v/>
      </c>
      <c r="M8" s="69" t="str">
        <f>IF(I8="","",VLOOKUP(学校情報!$B$5&amp;I8&amp;H5,選手データ!$A:$H,8,FALSE))</f>
        <v/>
      </c>
      <c r="N8" s="68" t="str">
        <f>IF(I8="","",VLOOKUP(学校情報!$B$5&amp;I8&amp;H5,選手データ!$A:$I,9,FALSE))</f>
        <v/>
      </c>
      <c r="O8" s="171"/>
      <c r="P8" s="171"/>
      <c r="Q8" s="167"/>
      <c r="R8" s="171"/>
      <c r="S8" s="165"/>
      <c r="T8" s="167"/>
      <c r="U8">
        <f t="shared" si="3"/>
        <v>0</v>
      </c>
      <c r="V8" s="156"/>
      <c r="W8" s="156"/>
      <c r="X8" s="156"/>
      <c r="Y8" s="156"/>
      <c r="Z8" s="59"/>
      <c r="AA8" t="b">
        <f>IF(ISNA(J8),V5,FALSE)</f>
        <v>0</v>
      </c>
      <c r="AB8" t="b">
        <f t="shared" si="4"/>
        <v>0</v>
      </c>
      <c r="AC8" s="156"/>
      <c r="AD8" s="156"/>
      <c r="AE8" s="156"/>
      <c r="AF8" s="156"/>
      <c r="AG8" s="156"/>
      <c r="AH8" s="156"/>
    </row>
    <row r="9" spans="1:34" ht="16.5" customHeight="1">
      <c r="A9">
        <f>IF(B9&lt;&gt;"",MAX(A5:A8)+1,0)</f>
        <v>0</v>
      </c>
      <c r="B9" t="str">
        <f t="shared" si="2"/>
        <v/>
      </c>
      <c r="G9" s="167"/>
      <c r="H9" s="167"/>
      <c r="I9" s="92"/>
      <c r="J9" s="67" t="str">
        <f>IF(I9="","",VLOOKUP(学校情報!$B$5&amp;I9&amp;H5,選手データ!$A:$H,4,FALSE))</f>
        <v/>
      </c>
      <c r="K9" s="67" t="str">
        <f>IF(I9="","",VLOOKUP(学校情報!$B$5&amp;I9&amp;H5,選手データ!$A:$H,5,FALSE))</f>
        <v/>
      </c>
      <c r="L9" s="68" t="str">
        <f>IF(I9="","",VLOOKUP(学校情報!$B$5&amp;I9&amp;H5,選手データ!$A:$H,6,FALSE))</f>
        <v/>
      </c>
      <c r="M9" s="69" t="str">
        <f>IF(I9="","",VLOOKUP(学校情報!$B$5&amp;I9&amp;H5,選手データ!$A:$H,8,FALSE))</f>
        <v/>
      </c>
      <c r="N9" s="68" t="str">
        <f>IF(I9="","",VLOOKUP(学校情報!$B$5&amp;I9&amp;H5,選手データ!$A:$I,9,FALSE))</f>
        <v/>
      </c>
      <c r="O9" s="171"/>
      <c r="P9" s="171"/>
      <c r="Q9" s="167"/>
      <c r="R9" s="171"/>
      <c r="S9" s="165"/>
      <c r="T9" s="167"/>
      <c r="U9">
        <f t="shared" si="3"/>
        <v>0</v>
      </c>
      <c r="V9" s="156"/>
      <c r="W9" s="156"/>
      <c r="X9" s="156"/>
      <c r="Y9" s="156"/>
      <c r="Z9" s="59"/>
      <c r="AA9" t="b">
        <f>IF(ISNA(J9),V5,FALSE)</f>
        <v>0</v>
      </c>
      <c r="AB9" t="b">
        <f t="shared" si="4"/>
        <v>0</v>
      </c>
      <c r="AC9" s="156"/>
      <c r="AD9" s="156"/>
      <c r="AE9" s="156"/>
      <c r="AF9" s="156"/>
      <c r="AG9" s="156"/>
      <c r="AH9" s="156"/>
    </row>
    <row r="10" spans="1:34" ht="16.5" customHeight="1" thickBot="1">
      <c r="A10">
        <f>IF(B10&lt;&gt;"",MAX(A5:A9)+1,0)</f>
        <v>0</v>
      </c>
      <c r="B10" t="str">
        <f t="shared" si="2"/>
        <v/>
      </c>
      <c r="G10" s="168"/>
      <c r="H10" s="168"/>
      <c r="I10" s="93"/>
      <c r="J10" s="70" t="str">
        <f>IF(I10="","",VLOOKUP(学校情報!$B$5&amp;I10&amp;H5,選手データ!$A:$H,4,FALSE))</f>
        <v/>
      </c>
      <c r="K10" s="70" t="str">
        <f>IF(I10="","",VLOOKUP(学校情報!$B$5&amp;I10&amp;H5,選手データ!$A:$H,5,FALSE))</f>
        <v/>
      </c>
      <c r="L10" s="71" t="str">
        <f>IF(I10="","",VLOOKUP(学校情報!$B$5&amp;I10&amp;H5,選手データ!$A:$H,6,FALSE))</f>
        <v/>
      </c>
      <c r="M10" s="72" t="str">
        <f>IF(I10="","",VLOOKUP(学校情報!$B$5&amp;I10&amp;H5,選手データ!$A:$H,8,FALSE))</f>
        <v/>
      </c>
      <c r="N10" s="71" t="str">
        <f>IF(I10="","",VLOOKUP(学校情報!$B$5&amp;I10&amp;H5,選手データ!$A:$I,9,FALSE))</f>
        <v/>
      </c>
      <c r="O10" s="172"/>
      <c r="P10" s="172"/>
      <c r="Q10" s="168"/>
      <c r="R10" s="172"/>
      <c r="S10" s="166"/>
      <c r="T10" s="168"/>
      <c r="U10">
        <f t="shared" si="3"/>
        <v>0</v>
      </c>
      <c r="V10" s="156"/>
      <c r="W10" s="156"/>
      <c r="X10" s="156"/>
      <c r="Y10" s="156"/>
      <c r="Z10" s="59"/>
      <c r="AA10" t="b">
        <f>IF(ISNA(J10),V5,FALSE)</f>
        <v>0</v>
      </c>
      <c r="AB10" t="b">
        <f t="shared" si="4"/>
        <v>0</v>
      </c>
      <c r="AC10" s="156"/>
      <c r="AD10" s="156"/>
      <c r="AE10" s="156"/>
      <c r="AF10" s="156"/>
      <c r="AG10" s="156"/>
      <c r="AH10" s="156"/>
    </row>
    <row r="11" spans="1:34" ht="16.5" customHeight="1" thickTop="1">
      <c r="A11">
        <f>IF(B11&lt;&gt;"",1,0)</f>
        <v>0</v>
      </c>
      <c r="B11" t="str">
        <f t="shared" ref="B11:B16" si="5">IF(AND($T$11="〇",I11&lt;&gt;""),I11&amp;$H$11,"")</f>
        <v/>
      </c>
      <c r="G11" s="173" t="s">
        <v>226</v>
      </c>
      <c r="H11" s="173" t="s">
        <v>143</v>
      </c>
      <c r="I11" s="94"/>
      <c r="J11" s="76" t="str">
        <f>IF(I11="","",VLOOKUP(学校情報!$B$5&amp;I11&amp;H11,選手データ!$A:$H,4,FALSE))</f>
        <v/>
      </c>
      <c r="K11" s="76" t="str">
        <f>IF(I11="","",VLOOKUP(学校情報!$B$5&amp;I11&amp;H11,選手データ!$A:$H,5,FALSE))</f>
        <v/>
      </c>
      <c r="L11" s="77" t="str">
        <f>IF(I11="","",VLOOKUP(学校情報!$B$5&amp;I11&amp;H11,選手データ!$A:$H,6,FALSE))</f>
        <v/>
      </c>
      <c r="M11" s="78" t="str">
        <f>IF(I11="","",VLOOKUP(学校情報!$B$5&amp;I11&amp;H11,選手データ!$A:$H,8,FALSE))</f>
        <v/>
      </c>
      <c r="N11" s="77" t="str">
        <f>IF(I11="","",VLOOKUP(学校情報!$B$5&amp;I11&amp;H11,選手データ!$A:$I,9,FALSE))</f>
        <v/>
      </c>
      <c r="O11" s="179"/>
      <c r="P11" s="179"/>
      <c r="Q11" s="173" t="str">
        <f>IF(LEN(P11)&gt;IF(O11="〇",1,2),IF(LEN(P11)&lt;=IF(O11="〇",1,2)+2,LEFT(P11,LEN(P11)-IF(O11="〇",1,2))&amp;"秒"&amp;RIGHT(P11,IF(O11="〇",1,2)),LEFT(P11,LEN(P11)-(IF(O11="〇",1,2)+2))&amp;"分"&amp;MID(P11,LEN(P11)-(IF(O11="〇",1,2)+2)+1,2)&amp;"秒"&amp;RIGHT(P11,IF(O11="〇",1,2))),"")</f>
        <v/>
      </c>
      <c r="R11" s="179"/>
      <c r="S11" s="164"/>
      <c r="T11" s="173" t="str">
        <f>IF(AND(V11,COUNTIF(AA11:AB16,TRUE)=0),IF(COUNTIF(AC11:AH16,TRUE)=0,"〇",""),"")</f>
        <v/>
      </c>
      <c r="U11">
        <f t="shared" si="3"/>
        <v>0</v>
      </c>
      <c r="V11" s="156" t="b">
        <f>IF(I11&amp;I12&amp;I13&amp;I14&amp;I15&amp;I16&amp;P11&amp;R11&amp;S11="",FALSE,TRUE)</f>
        <v>0</v>
      </c>
      <c r="W11" s="156" t="b">
        <f>IF(AND(V11=TRUE,P11&amp;R11&amp;S11&lt;&gt;""),TRUE,FALSE)</f>
        <v>0</v>
      </c>
      <c r="X11" s="156">
        <f>IF(O11="〇",1,2)</f>
        <v>2</v>
      </c>
      <c r="Y11" s="156" t="str">
        <f>IF(LEN(P11)&gt;X11,IF(LEN(P11)&lt;=X11+2,LEFT(P11,LEN(P11)-X11)&amp;"秒"&amp;RIGHT(P11,X11),LEFT(P11,LEN(P11)-(X11+2))&amp;"分"&amp;MID(P11,LEN(P11)-(X11+2)+1,2)&amp;"秒"&amp;RIGHT(P11,X11)),"")</f>
        <v/>
      </c>
      <c r="Z11" s="59"/>
      <c r="AA11" t="b">
        <f>IF(ISNA(J11),V11,FALSE)</f>
        <v>0</v>
      </c>
      <c r="AB11" t="b">
        <f t="shared" ref="AB11:AB16" si="6">IF(AND(SUM($U$11:$U$16)&lt;4,U11=0),$V$11,FALSE)</f>
        <v>0</v>
      </c>
      <c r="AC11" s="156" t="b">
        <f>IF(Q11="",W11,FALSE)</f>
        <v>0</v>
      </c>
      <c r="AD11" s="156" t="b">
        <f>IF(OR(P11="",ISNUMBER(P11)),FALSE,W11)</f>
        <v>0</v>
      </c>
      <c r="AE11" s="156" t="b">
        <f>IF(LEN(P11)&gt;=X11+2,IF(INT(LEFT(RIGHT(P11,X11+2),2))&gt;=60,TRUE,FALSE),FALSE)</f>
        <v>0</v>
      </c>
      <c r="AF11" s="156" t="b">
        <f>IF(R11="",W11,FALSE)</f>
        <v>0</v>
      </c>
      <c r="AG11" s="156" t="b">
        <f>IF(S11="",W11,FALSE)</f>
        <v>0</v>
      </c>
      <c r="AH11" s="156" t="b">
        <f>IF(AND(設定!$B$2&lt;=S11,S11&lt;=設定!$B$3),FALSE,W11)</f>
        <v>0</v>
      </c>
    </row>
    <row r="12" spans="1:34" ht="16.5" customHeight="1">
      <c r="A12">
        <f>IF(B12&lt;&gt;"",MAX(A11:A11)+1,0)</f>
        <v>0</v>
      </c>
      <c r="B12" t="str">
        <f t="shared" si="5"/>
        <v/>
      </c>
      <c r="G12" s="167"/>
      <c r="H12" s="167"/>
      <c r="I12" s="92"/>
      <c r="J12" s="67" t="str">
        <f>IF(I12="","",VLOOKUP(学校情報!$B$5&amp;I12&amp;H11,選手データ!$A:$H,4,FALSE))</f>
        <v/>
      </c>
      <c r="K12" s="67" t="str">
        <f>IF(I12="","",VLOOKUP(学校情報!$B$5&amp;I12&amp;H11,選手データ!$A:$H,5,FALSE))</f>
        <v/>
      </c>
      <c r="L12" s="68" t="str">
        <f>IF(I12="","",VLOOKUP(学校情報!$B$5&amp;I12&amp;H11,選手データ!$A:$H,6,FALSE))</f>
        <v/>
      </c>
      <c r="M12" s="69" t="str">
        <f>IF(I12="","",VLOOKUP(学校情報!$B$5&amp;I12&amp;H11,選手データ!$A:$H,8,FALSE))</f>
        <v/>
      </c>
      <c r="N12" s="68" t="str">
        <f>IF(I12="","",VLOOKUP(学校情報!$B$5&amp;I12&amp;H11,選手データ!$A:$I,9,FALSE))</f>
        <v/>
      </c>
      <c r="O12" s="171"/>
      <c r="P12" s="171"/>
      <c r="Q12" s="167"/>
      <c r="R12" s="171"/>
      <c r="S12" s="165"/>
      <c r="T12" s="167"/>
      <c r="U12">
        <f t="shared" si="3"/>
        <v>0</v>
      </c>
      <c r="V12" s="156"/>
      <c r="W12" s="156"/>
      <c r="X12" s="156"/>
      <c r="Y12" s="156"/>
      <c r="Z12" s="59"/>
      <c r="AA12" t="b">
        <f>IF(ISNA(J12),V11,FALSE)</f>
        <v>0</v>
      </c>
      <c r="AB12" t="b">
        <f t="shared" si="6"/>
        <v>0</v>
      </c>
      <c r="AC12" s="156"/>
      <c r="AD12" s="156"/>
      <c r="AE12" s="156"/>
      <c r="AF12" s="156"/>
      <c r="AG12" s="156"/>
      <c r="AH12" s="156"/>
    </row>
    <row r="13" spans="1:34" ht="16.5" customHeight="1">
      <c r="A13">
        <f>IF(B13&lt;&gt;"",MAX(A11:A12)+1,0)</f>
        <v>0</v>
      </c>
      <c r="B13" t="str">
        <f t="shared" si="5"/>
        <v/>
      </c>
      <c r="G13" s="167"/>
      <c r="H13" s="167"/>
      <c r="I13" s="92"/>
      <c r="J13" s="67" t="str">
        <f>IF(I13="","",VLOOKUP(学校情報!$B$5&amp;I13&amp;H11,選手データ!$A:$H,4,FALSE))</f>
        <v/>
      </c>
      <c r="K13" s="67" t="str">
        <f>IF(I13="","",VLOOKUP(学校情報!$B$5&amp;I13&amp;H11,選手データ!$A:$H,5,FALSE))</f>
        <v/>
      </c>
      <c r="L13" s="68" t="str">
        <f>IF(I13="","",VLOOKUP(学校情報!$B$5&amp;I13&amp;H11,選手データ!$A:$H,6,FALSE))</f>
        <v/>
      </c>
      <c r="M13" s="69" t="str">
        <f>IF(I13="","",VLOOKUP(学校情報!$B$5&amp;I13&amp;H11,選手データ!$A:$H,8,FALSE))</f>
        <v/>
      </c>
      <c r="N13" s="68" t="str">
        <f>IF(I13="","",VLOOKUP(学校情報!$B$5&amp;I13&amp;H11,選手データ!$A:$I,9,FALSE))</f>
        <v/>
      </c>
      <c r="O13" s="171"/>
      <c r="P13" s="171"/>
      <c r="Q13" s="167"/>
      <c r="R13" s="171"/>
      <c r="S13" s="165"/>
      <c r="T13" s="167"/>
      <c r="U13">
        <f t="shared" si="3"/>
        <v>0</v>
      </c>
      <c r="V13" s="156"/>
      <c r="W13" s="156"/>
      <c r="X13" s="156"/>
      <c r="Y13" s="156"/>
      <c r="Z13" s="59"/>
      <c r="AA13" t="b">
        <f>IF(ISNA(J13),V11,FALSE)</f>
        <v>0</v>
      </c>
      <c r="AB13" t="b">
        <f t="shared" si="6"/>
        <v>0</v>
      </c>
      <c r="AC13" s="156"/>
      <c r="AD13" s="156"/>
      <c r="AE13" s="156"/>
      <c r="AF13" s="156"/>
      <c r="AG13" s="156"/>
      <c r="AH13" s="156"/>
    </row>
    <row r="14" spans="1:34" ht="16.5" customHeight="1">
      <c r="A14">
        <f>IF(B14&lt;&gt;"",MAX(A11:A13)+1,0)</f>
        <v>0</v>
      </c>
      <c r="B14" t="str">
        <f t="shared" si="5"/>
        <v/>
      </c>
      <c r="G14" s="167"/>
      <c r="H14" s="167"/>
      <c r="I14" s="92"/>
      <c r="J14" s="67" t="str">
        <f>IF(I14="","",VLOOKUP(学校情報!$B$5&amp;I14&amp;H11,選手データ!$A:$H,4,FALSE))</f>
        <v/>
      </c>
      <c r="K14" s="67" t="str">
        <f>IF(I14="","",VLOOKUP(学校情報!$B$5&amp;I14&amp;H11,選手データ!$A:$H,5,FALSE))</f>
        <v/>
      </c>
      <c r="L14" s="68" t="str">
        <f>IF(I14="","",VLOOKUP(学校情報!$B$5&amp;I14&amp;H11,選手データ!$A:$H,6,FALSE))</f>
        <v/>
      </c>
      <c r="M14" s="69" t="str">
        <f>IF(I14="","",VLOOKUP(学校情報!$B$5&amp;I14&amp;H11,選手データ!$A:$H,8,FALSE))</f>
        <v/>
      </c>
      <c r="N14" s="68" t="str">
        <f>IF(I14="","",VLOOKUP(学校情報!$B$5&amp;I14&amp;H11,選手データ!$A:$I,9,FALSE))</f>
        <v/>
      </c>
      <c r="O14" s="171"/>
      <c r="P14" s="171"/>
      <c r="Q14" s="167"/>
      <c r="R14" s="171"/>
      <c r="S14" s="165"/>
      <c r="T14" s="167"/>
      <c r="U14">
        <f t="shared" si="3"/>
        <v>0</v>
      </c>
      <c r="V14" s="156"/>
      <c r="W14" s="156"/>
      <c r="X14" s="156"/>
      <c r="Y14" s="156"/>
      <c r="Z14" s="59"/>
      <c r="AA14" t="b">
        <f>IF(ISNA(J14),V11,FALSE)</f>
        <v>0</v>
      </c>
      <c r="AB14" t="b">
        <f t="shared" si="6"/>
        <v>0</v>
      </c>
      <c r="AC14" s="156"/>
      <c r="AD14" s="156"/>
      <c r="AE14" s="156"/>
      <c r="AF14" s="156"/>
      <c r="AG14" s="156"/>
      <c r="AH14" s="156"/>
    </row>
    <row r="15" spans="1:34" ht="16.5" customHeight="1">
      <c r="A15">
        <f>IF(B15&lt;&gt;"",MAX(A11:A14)+1,0)</f>
        <v>0</v>
      </c>
      <c r="B15" t="str">
        <f t="shared" si="5"/>
        <v/>
      </c>
      <c r="G15" s="167"/>
      <c r="H15" s="167"/>
      <c r="I15" s="92"/>
      <c r="J15" s="67" t="str">
        <f>IF(I15="","",VLOOKUP(学校情報!$B$5&amp;I15&amp;H11,選手データ!$A:$H,4,FALSE))</f>
        <v/>
      </c>
      <c r="K15" s="67" t="str">
        <f>IF(I15="","",VLOOKUP(学校情報!$B$5&amp;I15&amp;H11,選手データ!$A:$H,5,FALSE))</f>
        <v/>
      </c>
      <c r="L15" s="68" t="str">
        <f>IF(I15="","",VLOOKUP(学校情報!$B$5&amp;I15&amp;H11,選手データ!$A:$H,6,FALSE))</f>
        <v/>
      </c>
      <c r="M15" s="69" t="str">
        <f>IF(I15="","",VLOOKUP(学校情報!$B$5&amp;I15&amp;H11,選手データ!$A:$H,8,FALSE))</f>
        <v/>
      </c>
      <c r="N15" s="68" t="str">
        <f>IF(I15="","",VLOOKUP(学校情報!$B$5&amp;I15&amp;H11,選手データ!$A:$I,9,FALSE))</f>
        <v/>
      </c>
      <c r="O15" s="171"/>
      <c r="P15" s="171"/>
      <c r="Q15" s="167"/>
      <c r="R15" s="171"/>
      <c r="S15" s="165"/>
      <c r="T15" s="167"/>
      <c r="U15">
        <f t="shared" si="3"/>
        <v>0</v>
      </c>
      <c r="V15" s="156"/>
      <c r="W15" s="156"/>
      <c r="X15" s="156"/>
      <c r="Y15" s="156"/>
      <c r="Z15" s="59"/>
      <c r="AA15" t="b">
        <f>IF(ISNA(J15),V11,FALSE)</f>
        <v>0</v>
      </c>
      <c r="AB15" t="b">
        <f t="shared" si="6"/>
        <v>0</v>
      </c>
      <c r="AC15" s="156"/>
      <c r="AD15" s="156"/>
      <c r="AE15" s="156"/>
      <c r="AF15" s="156"/>
      <c r="AG15" s="156"/>
      <c r="AH15" s="156"/>
    </row>
    <row r="16" spans="1:34" ht="16.5" customHeight="1" thickBot="1">
      <c r="A16">
        <f>IF(B16&lt;&gt;"",MAX(A11:A15)+1,0)</f>
        <v>0</v>
      </c>
      <c r="B16" t="str">
        <f t="shared" si="5"/>
        <v/>
      </c>
      <c r="G16" s="174"/>
      <c r="H16" s="174"/>
      <c r="I16" s="95"/>
      <c r="J16" s="79" t="str">
        <f>IF(I16="","",VLOOKUP(学校情報!$B$5&amp;I16&amp;H11,選手データ!$A:$H,4,FALSE))</f>
        <v/>
      </c>
      <c r="K16" s="79" t="str">
        <f>IF(I16="","",VLOOKUP(学校情報!$B$5&amp;I16&amp;H11,選手データ!$A:$H,5,FALSE))</f>
        <v/>
      </c>
      <c r="L16" s="80" t="str">
        <f>IF(I16="","",VLOOKUP(学校情報!$B$5&amp;I16&amp;H11,選手データ!$A:$H,6,FALSE))</f>
        <v/>
      </c>
      <c r="M16" s="81" t="str">
        <f>IF(I16="","",VLOOKUP(学校情報!$B$5&amp;I16&amp;H11,選手データ!$A:$H,8,FALSE))</f>
        <v/>
      </c>
      <c r="N16" s="80" t="str">
        <f>IF(I16="","",VLOOKUP(学校情報!$B$5&amp;I16&amp;H11,選手データ!$A:$I,9,FALSE))</f>
        <v/>
      </c>
      <c r="O16" s="180"/>
      <c r="P16" s="180"/>
      <c r="Q16" s="174"/>
      <c r="R16" s="180"/>
      <c r="S16" s="166"/>
      <c r="T16" s="174"/>
      <c r="U16">
        <f t="shared" si="3"/>
        <v>0</v>
      </c>
      <c r="V16" s="156"/>
      <c r="W16" s="156"/>
      <c r="X16" s="156"/>
      <c r="Y16" s="156"/>
      <c r="Z16" s="59"/>
      <c r="AA16" t="b">
        <f>IF(ISNA(J16),V11,FALSE)</f>
        <v>0</v>
      </c>
      <c r="AB16" t="b">
        <f t="shared" si="6"/>
        <v>0</v>
      </c>
      <c r="AC16" s="156"/>
      <c r="AD16" s="156"/>
      <c r="AE16" s="156"/>
      <c r="AF16" s="156"/>
      <c r="AG16" s="156"/>
      <c r="AH16" s="156"/>
    </row>
    <row r="17" spans="1:34" ht="16.5" customHeight="1" thickTop="1">
      <c r="A17">
        <f>IF(B17&lt;&gt;"",1,0)</f>
        <v>0</v>
      </c>
      <c r="B17" t="str">
        <f t="shared" ref="B17:B22" si="7">IF(AND($T$17="〇",I17&lt;&gt;""),I17&amp;$H$17,"")</f>
        <v/>
      </c>
      <c r="G17" s="175" t="s">
        <v>227</v>
      </c>
      <c r="H17" s="175" t="s">
        <v>145</v>
      </c>
      <c r="I17" s="96"/>
      <c r="J17" s="82" t="str">
        <f>IF(I17="","",VLOOKUP(学校情報!$B$5&amp;I17&amp;H17,選手データ!$A:$H,4,FALSE))</f>
        <v/>
      </c>
      <c r="K17" s="82" t="str">
        <f>IF(I17="","",VLOOKUP(学校情報!$B$5&amp;I17&amp;H17,選手データ!$A:$H,5,FALSE))</f>
        <v/>
      </c>
      <c r="L17" s="83" t="str">
        <f>IF(I17="","",VLOOKUP(学校情報!$B$5&amp;I17&amp;H17,選手データ!$A:$H,6,FALSE))</f>
        <v/>
      </c>
      <c r="M17" s="84" t="str">
        <f>IF(I17="","",VLOOKUP(学校情報!$B$5&amp;I17&amp;H17,選手データ!$A:$H,8,FALSE))</f>
        <v/>
      </c>
      <c r="N17" s="83" t="str">
        <f>IF(I17="","",VLOOKUP(学校情報!$B$5&amp;I17&amp;H17,選手データ!$A:$I,9,FALSE))</f>
        <v/>
      </c>
      <c r="O17" s="162"/>
      <c r="P17" s="162"/>
      <c r="Q17" s="175" t="str">
        <f>IF(LEN(P17)&gt;IF(O17="〇",1,2),IF(LEN(P17)&lt;=IF(O17="〇",1,2)+2,LEFT(P17,LEN(P17)-IF(O17="〇",1,2))&amp;"秒"&amp;RIGHT(P17,IF(O17="〇",1,2)),LEFT(P17,LEN(P17)-(IF(O17="〇",1,2)+2))&amp;"分"&amp;MID(P17,LEN(P17)-(IF(O17="〇",1,2)+2)+1,2)&amp;"秒"&amp;RIGHT(P17,IF(O17="〇",1,2))),"")</f>
        <v/>
      </c>
      <c r="R17" s="162"/>
      <c r="S17" s="177"/>
      <c r="T17" s="175" t="str">
        <f>IF(AND(V17,COUNTIF(AA17:AB22,TRUE)=0),IF(COUNTIF(AC17:AH22,TRUE)=0,"〇",""),"")</f>
        <v/>
      </c>
      <c r="U17">
        <f t="shared" si="3"/>
        <v>0</v>
      </c>
      <c r="V17" s="156" t="b">
        <f>IF(I17&amp;I18&amp;I19&amp;I20&amp;I21&amp;I22&amp;P17&amp;R17&amp;S17="",FALSE,TRUE)</f>
        <v>0</v>
      </c>
      <c r="W17" s="156" t="b">
        <f>IF(AND(V17=TRUE,P17&amp;R17&amp;S17&lt;&gt;""),TRUE,FALSE)</f>
        <v>0</v>
      </c>
      <c r="X17" s="156">
        <f>IF(O17="〇",1,2)</f>
        <v>2</v>
      </c>
      <c r="Y17" s="156" t="str">
        <f>IF(LEN(P17)&gt;X17,IF(LEN(P17)&lt;=X17+2,LEFT(P17,LEN(P17)-X17)&amp;"秒"&amp;RIGHT(P17,X17),LEFT(P17,LEN(P17)-(X17+2))&amp;"分"&amp;MID(P17,LEN(P17)-(X17+2)+1,2)&amp;"秒"&amp;RIGHT(P17,X17)),"")</f>
        <v/>
      </c>
      <c r="Z17" s="59"/>
      <c r="AA17" t="b">
        <f>IF(ISNA(J17),V17,FALSE)</f>
        <v>0</v>
      </c>
      <c r="AB17" t="b">
        <f t="shared" ref="AB17:AB22" si="8">IF(AND(SUM($U$17:$U$22)&lt;4,U17=0),$V$17,FALSE)</f>
        <v>0</v>
      </c>
      <c r="AC17" s="156" t="b">
        <f>IF(Q17="",W17,FALSE)</f>
        <v>0</v>
      </c>
      <c r="AD17" s="156" t="b">
        <f>IF(OR(P17="",ISNUMBER(P17)),FALSE,W17)</f>
        <v>0</v>
      </c>
      <c r="AE17" s="156" t="b">
        <f>IF(LEN(P17)&gt;=X17+2,IF(INT(LEFT(RIGHT(P17,X17+2),2))&gt;=60,TRUE,FALSE),FALSE)</f>
        <v>0</v>
      </c>
      <c r="AF17" s="156" t="b">
        <f>IF(R17="",W17,FALSE)</f>
        <v>0</v>
      </c>
      <c r="AG17" s="156" t="b">
        <f>IF(S17="",W17,FALSE)</f>
        <v>0</v>
      </c>
      <c r="AH17" s="156" t="b">
        <f>IF(AND(設定!$B$2&lt;=S17,S17&lt;=設定!$B$3),FALSE,W17)</f>
        <v>0</v>
      </c>
    </row>
    <row r="18" spans="1:34" ht="16.5" customHeight="1">
      <c r="A18">
        <f>IF(B18&lt;&gt;"",MAX(A17:A17)+1,0)</f>
        <v>0</v>
      </c>
      <c r="B18" t="str">
        <f t="shared" si="7"/>
        <v/>
      </c>
      <c r="G18" s="170"/>
      <c r="H18" s="170"/>
      <c r="I18" s="97"/>
      <c r="J18" s="64" t="str">
        <f>IF(I18="","",VLOOKUP(学校情報!$B$5&amp;I18&amp;H17,選手データ!$A:$H,4,FALSE))</f>
        <v/>
      </c>
      <c r="K18" s="64" t="str">
        <f>IF(I18="","",VLOOKUP(学校情報!$B$5&amp;I18&amp;H17,選手データ!$A:$H,5,FALSE))</f>
        <v/>
      </c>
      <c r="L18" s="65" t="str">
        <f>IF(I18="","",VLOOKUP(学校情報!$B$5&amp;I18&amp;H17,選手データ!$A:$H,6,FALSE))</f>
        <v/>
      </c>
      <c r="M18" s="66" t="str">
        <f>IF(I18="","",VLOOKUP(学校情報!$B$5&amp;I18&amp;H17,選手データ!$A:$H,8,FALSE))</f>
        <v/>
      </c>
      <c r="N18" s="65" t="str">
        <f>IF(I18="","",VLOOKUP(学校情報!$B$5&amp;I18&amp;H17,選手データ!$A:$I,9,FALSE))</f>
        <v/>
      </c>
      <c r="O18" s="158"/>
      <c r="P18" s="158"/>
      <c r="Q18" s="170"/>
      <c r="R18" s="158"/>
      <c r="S18" s="160"/>
      <c r="T18" s="170"/>
      <c r="U18">
        <f t="shared" si="3"/>
        <v>0</v>
      </c>
      <c r="V18" s="156"/>
      <c r="W18" s="156"/>
      <c r="X18" s="156"/>
      <c r="Y18" s="156"/>
      <c r="Z18" s="59"/>
      <c r="AA18" t="b">
        <f>IF(ISNA(J18),V17,FALSE)</f>
        <v>0</v>
      </c>
      <c r="AB18" t="b">
        <f t="shared" si="8"/>
        <v>0</v>
      </c>
      <c r="AC18" s="156"/>
      <c r="AD18" s="156"/>
      <c r="AE18" s="156"/>
      <c r="AF18" s="156"/>
      <c r="AG18" s="156"/>
      <c r="AH18" s="156"/>
    </row>
    <row r="19" spans="1:34" ht="16.5" customHeight="1">
      <c r="A19">
        <f>IF(B19&lt;&gt;"",MAX(A17:A18)+1,0)</f>
        <v>0</v>
      </c>
      <c r="B19" t="str">
        <f t="shared" si="7"/>
        <v/>
      </c>
      <c r="G19" s="170"/>
      <c r="H19" s="170"/>
      <c r="I19" s="97"/>
      <c r="J19" s="64" t="str">
        <f>IF(I19="","",VLOOKUP(学校情報!$B$5&amp;I19&amp;H17,選手データ!$A:$H,4,FALSE))</f>
        <v/>
      </c>
      <c r="K19" s="64" t="str">
        <f>IF(I19="","",VLOOKUP(学校情報!$B$5&amp;I19&amp;H17,選手データ!$A:$H,5,FALSE))</f>
        <v/>
      </c>
      <c r="L19" s="65" t="str">
        <f>IF(I19="","",VLOOKUP(学校情報!$B$5&amp;I19&amp;H17,選手データ!$A:$H,6,FALSE))</f>
        <v/>
      </c>
      <c r="M19" s="66" t="str">
        <f>IF(I19="","",VLOOKUP(学校情報!$B$5&amp;I19&amp;H17,選手データ!$A:$H,8,FALSE))</f>
        <v/>
      </c>
      <c r="N19" s="65" t="str">
        <f>IF(I19="","",VLOOKUP(学校情報!$B$5&amp;I19&amp;H17,選手データ!$A:$I,9,FALSE))</f>
        <v/>
      </c>
      <c r="O19" s="158"/>
      <c r="P19" s="158"/>
      <c r="Q19" s="170"/>
      <c r="R19" s="158"/>
      <c r="S19" s="160"/>
      <c r="T19" s="170"/>
      <c r="U19">
        <f t="shared" si="3"/>
        <v>0</v>
      </c>
      <c r="V19" s="156"/>
      <c r="W19" s="156"/>
      <c r="X19" s="156"/>
      <c r="Y19" s="156"/>
      <c r="Z19" s="59"/>
      <c r="AA19" t="b">
        <f>IF(ISNA(J19),V17,FALSE)</f>
        <v>0</v>
      </c>
      <c r="AB19" t="b">
        <f t="shared" si="8"/>
        <v>0</v>
      </c>
      <c r="AC19" s="156"/>
      <c r="AD19" s="156"/>
      <c r="AE19" s="156"/>
      <c r="AF19" s="156"/>
      <c r="AG19" s="156"/>
      <c r="AH19" s="156"/>
    </row>
    <row r="20" spans="1:34" ht="16.5" customHeight="1">
      <c r="A20">
        <f>IF(B20&lt;&gt;"",MAX(A17:A19)+1,0)</f>
        <v>0</v>
      </c>
      <c r="B20" t="str">
        <f t="shared" si="7"/>
        <v/>
      </c>
      <c r="G20" s="170"/>
      <c r="H20" s="170"/>
      <c r="I20" s="97"/>
      <c r="J20" s="64" t="str">
        <f>IF(I20="","",VLOOKUP(学校情報!$B$5&amp;I20&amp;H17,選手データ!$A:$H,4,FALSE))</f>
        <v/>
      </c>
      <c r="K20" s="64" t="str">
        <f>IF(I20="","",VLOOKUP(学校情報!$B$5&amp;I20&amp;H17,選手データ!$A:$H,5,FALSE))</f>
        <v/>
      </c>
      <c r="L20" s="65" t="str">
        <f>IF(I20="","",VLOOKUP(学校情報!$B$5&amp;I20&amp;H17,選手データ!$A:$H,6,FALSE))</f>
        <v/>
      </c>
      <c r="M20" s="66" t="str">
        <f>IF(I20="","",VLOOKUP(学校情報!$B$5&amp;I20&amp;H17,選手データ!$A:$H,8,FALSE))</f>
        <v/>
      </c>
      <c r="N20" s="65" t="str">
        <f>IF(I20="","",VLOOKUP(学校情報!$B$5&amp;I20&amp;H17,選手データ!$A:$I,9,FALSE))</f>
        <v/>
      </c>
      <c r="O20" s="158"/>
      <c r="P20" s="158"/>
      <c r="Q20" s="170"/>
      <c r="R20" s="158"/>
      <c r="S20" s="160"/>
      <c r="T20" s="170"/>
      <c r="U20">
        <f t="shared" si="3"/>
        <v>0</v>
      </c>
      <c r="V20" s="156"/>
      <c r="W20" s="156"/>
      <c r="X20" s="156"/>
      <c r="Y20" s="156"/>
      <c r="Z20" s="59"/>
      <c r="AA20" t="b">
        <f>IF(ISNA(J20),V17,FALSE)</f>
        <v>0</v>
      </c>
      <c r="AB20" t="b">
        <f t="shared" si="8"/>
        <v>0</v>
      </c>
      <c r="AC20" s="156"/>
      <c r="AD20" s="156"/>
      <c r="AE20" s="156"/>
      <c r="AF20" s="156"/>
      <c r="AG20" s="156"/>
      <c r="AH20" s="156"/>
    </row>
    <row r="21" spans="1:34" ht="16.5" customHeight="1">
      <c r="A21">
        <f>IF(B21&lt;&gt;"",MAX(A17:A20)+1,0)</f>
        <v>0</v>
      </c>
      <c r="B21" t="str">
        <f t="shared" si="7"/>
        <v/>
      </c>
      <c r="G21" s="170"/>
      <c r="H21" s="170"/>
      <c r="I21" s="97"/>
      <c r="J21" s="64" t="str">
        <f>IF(I21="","",VLOOKUP(学校情報!$B$5&amp;I21&amp;H17,選手データ!$A:$H,4,FALSE))</f>
        <v/>
      </c>
      <c r="K21" s="64" t="str">
        <f>IF(I21="","",VLOOKUP(学校情報!$B$5&amp;I21&amp;H17,選手データ!$A:$H,5,FALSE))</f>
        <v/>
      </c>
      <c r="L21" s="65" t="str">
        <f>IF(I21="","",VLOOKUP(学校情報!$B$5&amp;I21&amp;H17,選手データ!$A:$H,6,FALSE))</f>
        <v/>
      </c>
      <c r="M21" s="66" t="str">
        <f>IF(I21="","",VLOOKUP(学校情報!$B$5&amp;I21&amp;H17,選手データ!$A:$H,8,FALSE))</f>
        <v/>
      </c>
      <c r="N21" s="65" t="str">
        <f>IF(I21="","",VLOOKUP(学校情報!$B$5&amp;I21&amp;H17,選手データ!$A:$I,9,FALSE))</f>
        <v/>
      </c>
      <c r="O21" s="158"/>
      <c r="P21" s="158"/>
      <c r="Q21" s="170"/>
      <c r="R21" s="158"/>
      <c r="S21" s="160"/>
      <c r="T21" s="170"/>
      <c r="U21">
        <f t="shared" si="3"/>
        <v>0</v>
      </c>
      <c r="V21" s="156"/>
      <c r="W21" s="156"/>
      <c r="X21" s="156"/>
      <c r="Y21" s="156"/>
      <c r="Z21" s="59"/>
      <c r="AA21" t="b">
        <f>IF(ISNA(J21),V17,FALSE)</f>
        <v>0</v>
      </c>
      <c r="AB21" t="b">
        <f t="shared" si="8"/>
        <v>0</v>
      </c>
      <c r="AC21" s="156"/>
      <c r="AD21" s="156"/>
      <c r="AE21" s="156"/>
      <c r="AF21" s="156"/>
      <c r="AG21" s="156"/>
      <c r="AH21" s="156"/>
    </row>
    <row r="22" spans="1:34" ht="16.5" customHeight="1" thickBot="1">
      <c r="A22">
        <f>IF(B22&lt;&gt;"",MAX(A17:A21)+1,0)</f>
        <v>0</v>
      </c>
      <c r="B22" t="str">
        <f t="shared" si="7"/>
        <v/>
      </c>
      <c r="G22" s="176"/>
      <c r="H22" s="176"/>
      <c r="I22" s="98"/>
      <c r="J22" s="85" t="str">
        <f>IF(I22="","",VLOOKUP(学校情報!$B$5&amp;I22&amp;H17,選手データ!$A:$H,4,FALSE))</f>
        <v/>
      </c>
      <c r="K22" s="85" t="str">
        <f>IF(I22="","",VLOOKUP(学校情報!$B$5&amp;I22&amp;H17,選手データ!$A:$H,5,FALSE))</f>
        <v/>
      </c>
      <c r="L22" s="86" t="str">
        <f>IF(I22="","",VLOOKUP(学校情報!$B$5&amp;I22&amp;H17,選手データ!$A:$H,6,FALSE))</f>
        <v/>
      </c>
      <c r="M22" s="87" t="str">
        <f>IF(I22="","",VLOOKUP(学校情報!$B$5&amp;I22&amp;H17,選手データ!$A:$H,8,FALSE))</f>
        <v/>
      </c>
      <c r="N22" s="86" t="str">
        <f>IF(I22="","",VLOOKUP(学校情報!$B$5&amp;I22&amp;H17,選手データ!$A:$I,9,FALSE))</f>
        <v/>
      </c>
      <c r="O22" s="163"/>
      <c r="P22" s="163"/>
      <c r="Q22" s="176"/>
      <c r="R22" s="163"/>
      <c r="S22" s="178"/>
      <c r="T22" s="176"/>
      <c r="U22">
        <f t="shared" si="3"/>
        <v>0</v>
      </c>
      <c r="V22" s="156"/>
      <c r="W22" s="156"/>
      <c r="X22" s="156"/>
      <c r="Y22" s="156"/>
      <c r="Z22" s="59"/>
      <c r="AA22" t="b">
        <f>IF(ISNA(J22),V17,FALSE)</f>
        <v>0</v>
      </c>
      <c r="AB22" t="b">
        <f t="shared" si="8"/>
        <v>0</v>
      </c>
      <c r="AC22" s="156"/>
      <c r="AD22" s="156"/>
      <c r="AE22" s="156"/>
      <c r="AF22" s="156"/>
      <c r="AG22" s="156"/>
      <c r="AH22" s="156"/>
    </row>
    <row r="23" spans="1:34" ht="16.5" customHeight="1" thickTop="1">
      <c r="A23">
        <f>IF(B23&lt;&gt;"",1,0)</f>
        <v>0</v>
      </c>
      <c r="B23" t="str">
        <f t="shared" ref="B23:B28" si="9">IF(AND($T$23="〇",I23&lt;&gt;""),I23&amp;$H$23,"")</f>
        <v/>
      </c>
      <c r="G23" s="169" t="s">
        <v>226</v>
      </c>
      <c r="H23" s="169" t="s">
        <v>145</v>
      </c>
      <c r="I23" s="99"/>
      <c r="J23" s="73" t="str">
        <f>IF(I23="","",VLOOKUP(学校情報!$B$5&amp;I23&amp;H23,選手データ!$A:$H,4,FALSE))</f>
        <v/>
      </c>
      <c r="K23" s="73" t="str">
        <f>IF(I23="","",VLOOKUP(学校情報!$B$5&amp;I23&amp;H23,選手データ!$A:$H,5,FALSE))</f>
        <v/>
      </c>
      <c r="L23" s="74" t="str">
        <f>IF(I23="","",VLOOKUP(学校情報!$B$5&amp;I23&amp;H23,選手データ!$A:$H,6,FALSE))</f>
        <v/>
      </c>
      <c r="M23" s="75" t="str">
        <f>IF(I23="","",VLOOKUP(学校情報!$B$5&amp;I23&amp;H23,選手データ!$A:$H,8,FALSE))</f>
        <v/>
      </c>
      <c r="N23" s="74" t="str">
        <f>IF(I23="","",VLOOKUP(学校情報!$B$5&amp;I23&amp;H23,選手データ!$A:$I,9,FALSE))</f>
        <v/>
      </c>
      <c r="O23" s="157"/>
      <c r="P23" s="157"/>
      <c r="Q23" s="169" t="str">
        <f>IF(LEN(P23)&gt;IF(O23="〇",1,2),IF(LEN(P23)&lt;=IF(O23="〇",1,2)+2,LEFT(P23,LEN(P23)-IF(O23="〇",1,2))&amp;"秒"&amp;RIGHT(P23,IF(O23="〇",1,2)),LEFT(P23,LEN(P23)-(IF(O23="〇",1,2)+2))&amp;"分"&amp;MID(P23,LEN(P23)-(IF(O23="〇",1,2)+2)+1,2)&amp;"秒"&amp;RIGHT(P23,IF(O23="〇",1,2))),"")</f>
        <v/>
      </c>
      <c r="R23" s="157"/>
      <c r="S23" s="159"/>
      <c r="T23" s="169" t="str">
        <f>IF(AND(V23,COUNTIF(AA23:AB28,TRUE)=0),IF(COUNTIF(AC23:AH28,TRUE)=0,"〇",""),"")</f>
        <v/>
      </c>
      <c r="U23">
        <f t="shared" si="3"/>
        <v>0</v>
      </c>
      <c r="V23" s="156" t="b">
        <f>IF(I23&amp;I24&amp;I25&amp;I26&amp;I27&amp;I28&amp;P23&amp;R23&amp;S23="",FALSE,TRUE)</f>
        <v>0</v>
      </c>
      <c r="W23" s="156" t="b">
        <f>IF(AND(V23=TRUE,P23&amp;R23&amp;S23&lt;&gt;""),TRUE,FALSE)</f>
        <v>0</v>
      </c>
      <c r="X23" s="156">
        <f>IF(O23="〇",1,2)</f>
        <v>2</v>
      </c>
      <c r="Y23" s="156" t="str">
        <f>IF(LEN(P23)&gt;X23,IF(LEN(P23)&lt;=X23+2,LEFT(P23,LEN(P23)-X23)&amp;"秒"&amp;RIGHT(P23,X23),LEFT(P23,LEN(P23)-(X23+2))&amp;"分"&amp;MID(P23,LEN(P23)-(X23+2)+1,2)&amp;"秒"&amp;RIGHT(P23,X23)),"")</f>
        <v/>
      </c>
      <c r="Z23" s="59"/>
      <c r="AA23" t="b">
        <f>IF(ISNA(J23),V23,FALSE)</f>
        <v>0</v>
      </c>
      <c r="AB23" t="b">
        <f t="shared" ref="AB23:AB28" si="10">IF(AND(SUM($U$23:$U$28)&lt;4,U23=0),$V$23,FALSE)</f>
        <v>0</v>
      </c>
      <c r="AC23" s="156" t="b">
        <f>IF(Q23="",W23,FALSE)</f>
        <v>0</v>
      </c>
      <c r="AD23" s="156" t="b">
        <f>IF(OR(P23="",ISNUMBER(P23)),FALSE,W23)</f>
        <v>0</v>
      </c>
      <c r="AE23" s="156" t="b">
        <f>IF(LEN(P23)&gt;=X23+2,IF(INT(LEFT(RIGHT(P23,X23+2),2))&gt;=60,TRUE,FALSE),FALSE)</f>
        <v>0</v>
      </c>
      <c r="AF23" s="156" t="b">
        <f>IF(R23="",W23,FALSE)</f>
        <v>0</v>
      </c>
      <c r="AG23" s="156" t="b">
        <f>IF(S23="",W23,FALSE)</f>
        <v>0</v>
      </c>
      <c r="AH23" s="156" t="b">
        <f>IF(AND(設定!$B$2&lt;=S23,S23&lt;=設定!$B$3),FALSE,W23)</f>
        <v>0</v>
      </c>
    </row>
    <row r="24" spans="1:34" ht="16.5" customHeight="1">
      <c r="A24">
        <f>IF(B24&lt;&gt;"",MAX(A23:A23)+1,0)</f>
        <v>0</v>
      </c>
      <c r="B24" t="str">
        <f t="shared" si="9"/>
        <v/>
      </c>
      <c r="G24" s="170"/>
      <c r="H24" s="170"/>
      <c r="I24" s="97"/>
      <c r="J24" s="64" t="str">
        <f>IF(I24="","",VLOOKUP(学校情報!$B$5&amp;I24&amp;H23,選手データ!$A:$H,4,FALSE))</f>
        <v/>
      </c>
      <c r="K24" s="64" t="str">
        <f>IF(I24="","",VLOOKUP(学校情報!$B$5&amp;I24&amp;H23,選手データ!$A:$H,5,FALSE))</f>
        <v/>
      </c>
      <c r="L24" s="65" t="str">
        <f>IF(I24="","",VLOOKUP(学校情報!$B$5&amp;I24&amp;H23,選手データ!$A:$H,6,FALSE))</f>
        <v/>
      </c>
      <c r="M24" s="66" t="str">
        <f>IF(I24="","",VLOOKUP(学校情報!$B$5&amp;I24&amp;H23,選手データ!$A:$H,8,FALSE))</f>
        <v/>
      </c>
      <c r="N24" s="65" t="str">
        <f>IF(I24="","",VLOOKUP(学校情報!$B$5&amp;I24&amp;H23,選手データ!$A:$I,9,FALSE))</f>
        <v/>
      </c>
      <c r="O24" s="158"/>
      <c r="P24" s="158"/>
      <c r="Q24" s="170"/>
      <c r="R24" s="158"/>
      <c r="S24" s="160"/>
      <c r="T24" s="170"/>
      <c r="U24">
        <f t="shared" si="3"/>
        <v>0</v>
      </c>
      <c r="V24" s="156"/>
      <c r="W24" s="156"/>
      <c r="X24" s="156"/>
      <c r="Y24" s="156"/>
      <c r="Z24" s="59"/>
      <c r="AA24" t="b">
        <f>IF(ISNA(J24),V23,FALSE)</f>
        <v>0</v>
      </c>
      <c r="AB24" t="b">
        <f t="shared" si="10"/>
        <v>0</v>
      </c>
      <c r="AC24" s="156"/>
      <c r="AD24" s="156"/>
      <c r="AE24" s="156"/>
      <c r="AF24" s="156"/>
      <c r="AG24" s="156"/>
      <c r="AH24" s="156"/>
    </row>
    <row r="25" spans="1:34" ht="16.5" customHeight="1">
      <c r="A25">
        <f>IF(B25&lt;&gt;"",MAX(A23:A24)+1,0)</f>
        <v>0</v>
      </c>
      <c r="B25" t="str">
        <f t="shared" si="9"/>
        <v/>
      </c>
      <c r="G25" s="170"/>
      <c r="H25" s="170"/>
      <c r="I25" s="97"/>
      <c r="J25" s="64" t="str">
        <f>IF(I25="","",VLOOKUP(学校情報!$B$5&amp;I25&amp;H23,選手データ!$A:$H,4,FALSE))</f>
        <v/>
      </c>
      <c r="K25" s="64" t="str">
        <f>IF(I25="","",VLOOKUP(学校情報!$B$5&amp;I25&amp;H23,選手データ!$A:$H,5,FALSE))</f>
        <v/>
      </c>
      <c r="L25" s="65" t="str">
        <f>IF(I25="","",VLOOKUP(学校情報!$B$5&amp;I25&amp;H23,選手データ!$A:$H,6,FALSE))</f>
        <v/>
      </c>
      <c r="M25" s="66" t="str">
        <f>IF(I25="","",VLOOKUP(学校情報!$B$5&amp;I25&amp;H23,選手データ!$A:$H,8,FALSE))</f>
        <v/>
      </c>
      <c r="N25" s="65" t="str">
        <f>IF(I25="","",VLOOKUP(学校情報!$B$5&amp;I25&amp;H23,選手データ!$A:$I,9,FALSE))</f>
        <v/>
      </c>
      <c r="O25" s="158"/>
      <c r="P25" s="158"/>
      <c r="Q25" s="170"/>
      <c r="R25" s="158"/>
      <c r="S25" s="160"/>
      <c r="T25" s="170"/>
      <c r="U25">
        <f t="shared" si="3"/>
        <v>0</v>
      </c>
      <c r="V25" s="156"/>
      <c r="W25" s="156"/>
      <c r="X25" s="156"/>
      <c r="Y25" s="156"/>
      <c r="Z25" s="59"/>
      <c r="AA25" t="b">
        <f>IF(ISNA(J25),V23,FALSE)</f>
        <v>0</v>
      </c>
      <c r="AB25" t="b">
        <f t="shared" si="10"/>
        <v>0</v>
      </c>
      <c r="AC25" s="156"/>
      <c r="AD25" s="156"/>
      <c r="AE25" s="156"/>
      <c r="AF25" s="156"/>
      <c r="AG25" s="156"/>
      <c r="AH25" s="156"/>
    </row>
    <row r="26" spans="1:34" ht="16.5" customHeight="1">
      <c r="A26">
        <f>IF(B26&lt;&gt;"",MAX(A23:A25)+1,0)</f>
        <v>0</v>
      </c>
      <c r="B26" t="str">
        <f t="shared" si="9"/>
        <v/>
      </c>
      <c r="G26" s="170"/>
      <c r="H26" s="170"/>
      <c r="I26" s="97"/>
      <c r="J26" s="64" t="str">
        <f>IF(I26="","",VLOOKUP(学校情報!$B$5&amp;I26&amp;H23,選手データ!$A:$H,4,FALSE))</f>
        <v/>
      </c>
      <c r="K26" s="64" t="str">
        <f>IF(I26="","",VLOOKUP(学校情報!$B$5&amp;I26&amp;H23,選手データ!$A:$H,5,FALSE))</f>
        <v/>
      </c>
      <c r="L26" s="65" t="str">
        <f>IF(I26="","",VLOOKUP(学校情報!$B$5&amp;I26&amp;H23,選手データ!$A:$H,6,FALSE))</f>
        <v/>
      </c>
      <c r="M26" s="66" t="str">
        <f>IF(I26="","",VLOOKUP(学校情報!$B$5&amp;I26&amp;H23,選手データ!$A:$H,8,FALSE))</f>
        <v/>
      </c>
      <c r="N26" s="65" t="str">
        <f>IF(I26="","",VLOOKUP(学校情報!$B$5&amp;I26&amp;H23,選手データ!$A:$I,9,FALSE))</f>
        <v/>
      </c>
      <c r="O26" s="158"/>
      <c r="P26" s="158"/>
      <c r="Q26" s="170"/>
      <c r="R26" s="158"/>
      <c r="S26" s="160"/>
      <c r="T26" s="170"/>
      <c r="U26">
        <f t="shared" si="3"/>
        <v>0</v>
      </c>
      <c r="V26" s="156"/>
      <c r="W26" s="156"/>
      <c r="X26" s="156"/>
      <c r="Y26" s="156"/>
      <c r="Z26" s="59"/>
      <c r="AA26" t="b">
        <f>IF(ISNA(J26),V23,FALSE)</f>
        <v>0</v>
      </c>
      <c r="AB26" t="b">
        <f t="shared" si="10"/>
        <v>0</v>
      </c>
      <c r="AC26" s="156"/>
      <c r="AD26" s="156"/>
      <c r="AE26" s="156"/>
      <c r="AF26" s="156"/>
      <c r="AG26" s="156"/>
      <c r="AH26" s="156"/>
    </row>
    <row r="27" spans="1:34" ht="16.5" customHeight="1">
      <c r="A27">
        <f>IF(B27&lt;&gt;"",MAX(A23:A26)+1,0)</f>
        <v>0</v>
      </c>
      <c r="B27" t="str">
        <f t="shared" si="9"/>
        <v/>
      </c>
      <c r="G27" s="170"/>
      <c r="H27" s="170"/>
      <c r="I27" s="97"/>
      <c r="J27" s="64" t="str">
        <f>IF(I27="","",VLOOKUP(学校情報!$B$5&amp;I27&amp;H23,選手データ!$A:$H,4,FALSE))</f>
        <v/>
      </c>
      <c r="K27" s="64" t="str">
        <f>IF(I27="","",VLOOKUP(学校情報!$B$5&amp;I27&amp;H23,選手データ!$A:$H,5,FALSE))</f>
        <v/>
      </c>
      <c r="L27" s="65" t="str">
        <f>IF(I27="","",VLOOKUP(学校情報!$B$5&amp;I27&amp;H23,選手データ!$A:$H,6,FALSE))</f>
        <v/>
      </c>
      <c r="M27" s="66" t="str">
        <f>IF(I27="","",VLOOKUP(学校情報!$B$5&amp;I27&amp;H23,選手データ!$A:$H,8,FALSE))</f>
        <v/>
      </c>
      <c r="N27" s="65" t="str">
        <f>IF(I27="","",VLOOKUP(学校情報!$B$5&amp;I27&amp;H23,選手データ!$A:$I,9,FALSE))</f>
        <v/>
      </c>
      <c r="O27" s="158"/>
      <c r="P27" s="158"/>
      <c r="Q27" s="170"/>
      <c r="R27" s="158"/>
      <c r="S27" s="160"/>
      <c r="T27" s="170"/>
      <c r="U27">
        <f t="shared" si="3"/>
        <v>0</v>
      </c>
      <c r="V27" s="156"/>
      <c r="W27" s="156"/>
      <c r="X27" s="156"/>
      <c r="Y27" s="156"/>
      <c r="Z27" s="59"/>
      <c r="AA27" t="b">
        <f>IF(ISNA(J27),V23,FALSE)</f>
        <v>0</v>
      </c>
      <c r="AB27" t="b">
        <f t="shared" si="10"/>
        <v>0</v>
      </c>
      <c r="AC27" s="156"/>
      <c r="AD27" s="156"/>
      <c r="AE27" s="156"/>
      <c r="AF27" s="156"/>
      <c r="AG27" s="156"/>
      <c r="AH27" s="156"/>
    </row>
    <row r="28" spans="1:34" ht="16.5" customHeight="1">
      <c r="A28">
        <f>IF(B28&lt;&gt;"",MAX(A23:A27)+1,0)</f>
        <v>0</v>
      </c>
      <c r="B28" t="str">
        <f t="shared" si="9"/>
        <v/>
      </c>
      <c r="G28" s="170"/>
      <c r="H28" s="170"/>
      <c r="I28" s="97"/>
      <c r="J28" s="64" t="str">
        <f>IF(I28="","",VLOOKUP(学校情報!$B$5&amp;I28&amp;H23,選手データ!$A:$H,4,FALSE))</f>
        <v/>
      </c>
      <c r="K28" s="64" t="str">
        <f>IF(I28="","",VLOOKUP(学校情報!$B$5&amp;I28&amp;H23,選手データ!$A:$H,5,FALSE))</f>
        <v/>
      </c>
      <c r="L28" s="65" t="str">
        <f>IF(I28="","",VLOOKUP(学校情報!$B$5&amp;I28&amp;H23,選手データ!$A:$H,6,FALSE))</f>
        <v/>
      </c>
      <c r="M28" s="66" t="str">
        <f>IF(I28="","",VLOOKUP(学校情報!$B$5&amp;I28&amp;H23,選手データ!$A:$H,8,FALSE))</f>
        <v/>
      </c>
      <c r="N28" s="65" t="str">
        <f>IF(I28="","",VLOOKUP(学校情報!$B$5&amp;I28&amp;H23,選手データ!$A:$I,9,FALSE))</f>
        <v/>
      </c>
      <c r="O28" s="158"/>
      <c r="P28" s="158"/>
      <c r="Q28" s="170"/>
      <c r="R28" s="158"/>
      <c r="S28" s="161"/>
      <c r="T28" s="170"/>
      <c r="U28">
        <f t="shared" si="3"/>
        <v>0</v>
      </c>
      <c r="V28" s="156"/>
      <c r="W28" s="156"/>
      <c r="X28" s="156"/>
      <c r="Y28" s="156"/>
      <c r="Z28" s="59"/>
      <c r="AA28" t="b">
        <f>IF(ISNA(J28),V23,FALSE)</f>
        <v>0</v>
      </c>
      <c r="AB28" t="b">
        <f t="shared" si="10"/>
        <v>0</v>
      </c>
      <c r="AC28" s="156"/>
      <c r="AD28" s="156"/>
      <c r="AE28" s="156"/>
      <c r="AF28" s="156"/>
      <c r="AG28" s="156"/>
      <c r="AH28" s="156"/>
    </row>
    <row r="34" spans="13:13">
      <c r="M34" s="63"/>
    </row>
  </sheetData>
  <sheetProtection password="E027" sheet="1" objects="1" scenarios="1" selectLockedCells="1"/>
  <mergeCells count="72">
    <mergeCell ref="Q11:Q16"/>
    <mergeCell ref="AF17:AF22"/>
    <mergeCell ref="S17:S22"/>
    <mergeCell ref="G17:G22"/>
    <mergeCell ref="H17:H22"/>
    <mergeCell ref="P17:P22"/>
    <mergeCell ref="Q17:Q22"/>
    <mergeCell ref="O17:O22"/>
    <mergeCell ref="R11:R16"/>
    <mergeCell ref="S11:S16"/>
    <mergeCell ref="G11:G16"/>
    <mergeCell ref="H11:H16"/>
    <mergeCell ref="O11:O16"/>
    <mergeCell ref="P11:P16"/>
    <mergeCell ref="Y11:Y16"/>
    <mergeCell ref="AF5:AF10"/>
    <mergeCell ref="V5:V10"/>
    <mergeCell ref="W5:W10"/>
    <mergeCell ref="X5:X10"/>
    <mergeCell ref="T23:T28"/>
    <mergeCell ref="Y5:Y10"/>
    <mergeCell ref="AD17:AD22"/>
    <mergeCell ref="AE17:AE22"/>
    <mergeCell ref="V17:V22"/>
    <mergeCell ref="W17:W22"/>
    <mergeCell ref="X17:X22"/>
    <mergeCell ref="V23:V28"/>
    <mergeCell ref="W23:W28"/>
    <mergeCell ref="T11:T16"/>
    <mergeCell ref="T17:T22"/>
    <mergeCell ref="X11:X16"/>
    <mergeCell ref="R5:R10"/>
    <mergeCell ref="G5:G10"/>
    <mergeCell ref="AC5:AC10"/>
    <mergeCell ref="AD5:AD10"/>
    <mergeCell ref="AE5:AE10"/>
    <mergeCell ref="H5:H10"/>
    <mergeCell ref="Q5:Q10"/>
    <mergeCell ref="O5:O10"/>
    <mergeCell ref="P5:P10"/>
    <mergeCell ref="G23:G28"/>
    <mergeCell ref="H23:H28"/>
    <mergeCell ref="O23:O28"/>
    <mergeCell ref="P23:P28"/>
    <mergeCell ref="Q23:Q28"/>
    <mergeCell ref="R23:R28"/>
    <mergeCell ref="S23:S28"/>
    <mergeCell ref="R17:R22"/>
    <mergeCell ref="AH5:AH10"/>
    <mergeCell ref="AH11:AH16"/>
    <mergeCell ref="AH17:AH22"/>
    <mergeCell ref="AD11:AD16"/>
    <mergeCell ref="AE11:AE16"/>
    <mergeCell ref="S5:S10"/>
    <mergeCell ref="T5:T10"/>
    <mergeCell ref="Y17:Y22"/>
    <mergeCell ref="AC17:AC22"/>
    <mergeCell ref="AG5:AG10"/>
    <mergeCell ref="AH23:AH28"/>
    <mergeCell ref="V11:V16"/>
    <mergeCell ref="W11:W16"/>
    <mergeCell ref="X23:X28"/>
    <mergeCell ref="Y23:Y28"/>
    <mergeCell ref="AC23:AC28"/>
    <mergeCell ref="AG11:AG16"/>
    <mergeCell ref="AC11:AC16"/>
    <mergeCell ref="AF11:AF16"/>
    <mergeCell ref="AG23:AG28"/>
    <mergeCell ref="AG17:AG22"/>
    <mergeCell ref="AD23:AD28"/>
    <mergeCell ref="AE23:AE28"/>
    <mergeCell ref="AF23:AF28"/>
  </mergeCells>
  <phoneticPr fontId="2"/>
  <conditionalFormatting sqref="I5:I28">
    <cfRule type="expression" dxfId="19" priority="1" stopIfTrue="1">
      <formula>OR($AA5,$AB5)</formula>
    </cfRule>
  </conditionalFormatting>
  <conditionalFormatting sqref="P5:P28">
    <cfRule type="expression" dxfId="18" priority="2" stopIfTrue="1">
      <formula>OR($AC5,$AD5,$AE5)</formula>
    </cfRule>
  </conditionalFormatting>
  <conditionalFormatting sqref="R5:R28">
    <cfRule type="expression" dxfId="17" priority="3" stopIfTrue="1">
      <formula>$AF5</formula>
    </cfRule>
  </conditionalFormatting>
  <conditionalFormatting sqref="S5 S11 S17 S23">
    <cfRule type="expression" dxfId="16" priority="4" stopIfTrue="1">
      <formula>OR($AG5,$AH5)</formula>
    </cfRule>
  </conditionalFormatting>
  <dataValidations count="1">
    <dataValidation type="list" allowBlank="1" showInputMessage="1" showErrorMessage="1" sqref="O5:O10 O11:O16 O17:O28">
      <formula1>$U$1:$U$2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77"/>
  <sheetViews>
    <sheetView view="pageBreakPreview" zoomScaleNormal="85" zoomScaleSheetLayoutView="100" workbookViewId="0">
      <selection activeCell="J8" sqref="J8"/>
    </sheetView>
  </sheetViews>
  <sheetFormatPr defaultRowHeight="13.5"/>
  <cols>
    <col min="1" max="1" width="8.5" style="101" customWidth="1"/>
    <col min="2" max="2" width="15.75" style="101" customWidth="1"/>
    <col min="3" max="3" width="11.375" style="101" bestFit="1" customWidth="1"/>
    <col min="4" max="5" width="5.25" style="101" bestFit="1" customWidth="1"/>
    <col min="6" max="6" width="10.375" style="101" customWidth="1"/>
    <col min="7" max="7" width="7.125" style="101" bestFit="1" customWidth="1"/>
    <col min="8" max="8" width="10.375" style="101" customWidth="1"/>
    <col min="9" max="9" width="2.75" style="101" bestFit="1" customWidth="1"/>
    <col min="10" max="10" width="9.875" style="101" bestFit="1" customWidth="1"/>
    <col min="11" max="12" width="7.75" style="101" bestFit="1" customWidth="1"/>
    <col min="13" max="17" width="9" style="101" hidden="1" customWidth="1"/>
    <col min="18" max="18" width="15.25" style="101" hidden="1" customWidth="1"/>
    <col min="19" max="23" width="9" style="101" hidden="1" customWidth="1"/>
    <col min="24" max="24" width="21.375" style="101" hidden="1" customWidth="1"/>
    <col min="25" max="62" width="9" style="101" hidden="1" customWidth="1"/>
    <col min="63" max="16384" width="9" style="101"/>
  </cols>
  <sheetData>
    <row r="1" spans="1:15" ht="23.25" customHeight="1">
      <c r="A1" s="100" t="str">
        <f>設定!B1&amp;"　総括申込書"</f>
        <v>第６８回西日本学生陸上競技対校選手権大会　総括申込書</v>
      </c>
      <c r="K1" s="196" t="s">
        <v>181</v>
      </c>
      <c r="L1" s="196"/>
    </row>
    <row r="2" spans="1:15" ht="33.75" customHeight="1">
      <c r="A2" s="183" t="s">
        <v>9</v>
      </c>
      <c r="B2" s="183"/>
      <c r="C2" s="183" t="str">
        <f>IF(学校情報!B5="","",学校情報!B5)</f>
        <v/>
      </c>
      <c r="D2" s="183"/>
      <c r="E2" s="183"/>
      <c r="F2" s="183"/>
      <c r="G2" s="183"/>
      <c r="H2" s="183"/>
      <c r="I2" s="102"/>
      <c r="J2" s="102"/>
      <c r="K2" s="102"/>
      <c r="L2" s="102"/>
    </row>
    <row r="3" spans="1:15" ht="33.75" customHeight="1">
      <c r="A3" s="183" t="s">
        <v>182</v>
      </c>
      <c r="B3" s="183"/>
      <c r="C3" s="183" t="str">
        <f>IF(学校情報!B6="","",学校情報!B6)</f>
        <v/>
      </c>
      <c r="D3" s="183"/>
      <c r="E3" s="183"/>
      <c r="F3" s="183"/>
      <c r="G3" s="183"/>
      <c r="H3" s="183"/>
      <c r="I3" s="103"/>
      <c r="J3" s="103"/>
      <c r="K3" s="103"/>
      <c r="L3" s="103"/>
    </row>
    <row r="4" spans="1:15" ht="33.75" customHeight="1">
      <c r="A4" s="183" t="s">
        <v>10</v>
      </c>
      <c r="B4" s="183"/>
      <c r="C4" s="183" t="str">
        <f>IF(学校情報!B7="","",学校情報!B7)</f>
        <v/>
      </c>
      <c r="D4" s="183"/>
      <c r="E4" s="183"/>
      <c r="F4" s="183"/>
      <c r="G4" s="183"/>
      <c r="H4" s="183"/>
      <c r="I4" s="103"/>
      <c r="J4" s="103"/>
      <c r="K4" s="103"/>
      <c r="L4" s="103"/>
    </row>
    <row r="5" spans="1:15" ht="33.75" customHeight="1">
      <c r="A5" s="183" t="s">
        <v>11</v>
      </c>
      <c r="B5" s="183"/>
      <c r="C5" s="183" t="str">
        <f>IF(学校情報!B8="","",学校情報!B8)</f>
        <v/>
      </c>
      <c r="D5" s="183"/>
      <c r="E5" s="183"/>
      <c r="F5" s="183"/>
      <c r="G5" s="183"/>
      <c r="H5" s="183"/>
      <c r="I5" s="103"/>
      <c r="J5" s="103"/>
      <c r="K5" s="103"/>
      <c r="L5" s="103"/>
    </row>
    <row r="6" spans="1:15" ht="33.75" customHeight="1">
      <c r="A6" s="188" t="s">
        <v>19</v>
      </c>
      <c r="B6" s="188"/>
      <c r="C6" s="183" t="str">
        <f>IF(学校情報!B9="","",学校情報!B9)</f>
        <v/>
      </c>
      <c r="D6" s="183"/>
      <c r="E6" s="183"/>
      <c r="F6" s="183"/>
      <c r="G6" s="183"/>
      <c r="H6" s="183"/>
      <c r="I6" s="103"/>
      <c r="J6" s="103"/>
      <c r="K6" s="103"/>
      <c r="L6" s="103"/>
    </row>
    <row r="7" spans="1:15" ht="33.75" customHeight="1">
      <c r="A7" s="188" t="s">
        <v>20</v>
      </c>
      <c r="B7" s="188"/>
      <c r="C7" s="183" t="str">
        <f>IF(学校情報!B10="","",学校情報!B10)</f>
        <v/>
      </c>
      <c r="D7" s="183"/>
      <c r="E7" s="183"/>
      <c r="F7" s="183"/>
      <c r="G7" s="183"/>
      <c r="H7" s="183"/>
      <c r="I7" s="103"/>
      <c r="J7" s="103"/>
      <c r="K7" s="103"/>
      <c r="L7" s="103"/>
    </row>
    <row r="8" spans="1:15" ht="33.75" customHeight="1">
      <c r="A8" s="183" t="s">
        <v>12</v>
      </c>
      <c r="B8" s="183"/>
      <c r="C8" s="184" t="str">
        <f>IF(学校情報!B11="","",学校情報!B11)</f>
        <v/>
      </c>
      <c r="D8" s="184"/>
      <c r="E8" s="184"/>
      <c r="F8" s="184"/>
      <c r="G8" s="102"/>
      <c r="H8" s="102"/>
      <c r="I8" s="103"/>
      <c r="J8" s="103"/>
      <c r="K8" s="103"/>
      <c r="L8" s="103"/>
    </row>
    <row r="9" spans="1:15" ht="33.75" customHeight="1">
      <c r="A9" s="183" t="s">
        <v>13</v>
      </c>
      <c r="B9" s="183"/>
      <c r="C9" s="184" t="str">
        <f>IF(学校情報!B12="","",学校情報!B12)</f>
        <v/>
      </c>
      <c r="D9" s="184"/>
      <c r="E9" s="184"/>
      <c r="F9" s="184"/>
      <c r="G9" s="184"/>
      <c r="H9" s="184"/>
      <c r="I9" s="184"/>
      <c r="J9" s="184"/>
      <c r="K9" s="184"/>
      <c r="L9" s="184"/>
      <c r="O9" s="101" t="s">
        <v>230</v>
      </c>
    </row>
    <row r="10" spans="1:15" ht="18.75" customHeight="1" thickBot="1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5" ht="26.25" customHeight="1" thickBot="1">
      <c r="A11" s="189" t="s">
        <v>183</v>
      </c>
      <c r="B11" s="190"/>
      <c r="C11" s="202" t="s">
        <v>141</v>
      </c>
      <c r="D11" s="197"/>
      <c r="E11" s="197" t="s">
        <v>188</v>
      </c>
      <c r="F11" s="197"/>
      <c r="G11" s="197" t="s">
        <v>187</v>
      </c>
      <c r="H11" s="197"/>
      <c r="I11" s="189" t="s">
        <v>189</v>
      </c>
      <c r="J11" s="197"/>
      <c r="K11" s="190"/>
    </row>
    <row r="12" spans="1:15" ht="26.25" customHeight="1">
      <c r="A12" s="194" t="s">
        <v>184</v>
      </c>
      <c r="B12" s="195"/>
      <c r="C12" s="205" t="str">
        <f>IF(M12&gt;0,M12&amp;"","")</f>
        <v/>
      </c>
      <c r="D12" s="206"/>
      <c r="E12" s="206" t="str">
        <f>IF(N12&gt;0,N12&amp;"","")</f>
        <v/>
      </c>
      <c r="F12" s="206"/>
      <c r="G12" s="206" t="str">
        <f>IF(O12&gt;0,O12&amp;"","")</f>
        <v/>
      </c>
      <c r="H12" s="222"/>
      <c r="I12" s="219"/>
      <c r="J12" s="220"/>
      <c r="K12" s="221"/>
      <c r="M12" s="101" t="str">
        <f>IF(学校情報!$A$4&lt;&gt;"","",SUM(U37:U105))</f>
        <v/>
      </c>
      <c r="N12" s="101" t="str">
        <f>IF(学校情報!$A$4&lt;&gt;"","",SUM(U109:U177))</f>
        <v/>
      </c>
      <c r="O12" s="101" t="str">
        <f>IF(学校情報!$A$4&lt;&gt;"","",M12+N12)</f>
        <v/>
      </c>
    </row>
    <row r="13" spans="1:15" ht="26.25" customHeight="1">
      <c r="A13" s="185" t="s">
        <v>185</v>
      </c>
      <c r="B13" s="186"/>
      <c r="C13" s="218" t="str">
        <f>IF(M13&gt;0,M13&amp;"","")</f>
        <v/>
      </c>
      <c r="D13" s="187"/>
      <c r="E13" s="187" t="str">
        <f>IF(N13&gt;0,N13&amp;"","")</f>
        <v/>
      </c>
      <c r="F13" s="187"/>
      <c r="G13" s="187" t="str">
        <f>IF(O13&gt;0,O13&amp;"","")</f>
        <v/>
      </c>
      <c r="H13" s="198"/>
      <c r="I13" s="210" t="str">
        <f>IF(学校情報!$A$4&lt;&gt;"","",IF(O13&gt;0,TEXT(O13*設定!B13,"#,##円"),""))</f>
        <v/>
      </c>
      <c r="J13" s="211"/>
      <c r="K13" s="212"/>
      <c r="M13" s="101" t="str">
        <f>IF(学校情報!$A$4&lt;&gt;"","",SUM(V37:V105))</f>
        <v/>
      </c>
      <c r="N13" s="101" t="str">
        <f>IF(学校情報!$A$4&lt;&gt;"","",SUM(V109:V177))</f>
        <v/>
      </c>
      <c r="O13" s="101" t="str">
        <f>IF(学校情報!$A$4&lt;&gt;"","",M13+N13)</f>
        <v/>
      </c>
    </row>
    <row r="14" spans="1:15" ht="26.25" customHeight="1" thickBot="1">
      <c r="A14" s="203" t="s">
        <v>186</v>
      </c>
      <c r="B14" s="204"/>
      <c r="C14" s="213" t="str">
        <f>IF(M14&gt;0,M14&amp;"","")</f>
        <v/>
      </c>
      <c r="D14" s="214"/>
      <c r="E14" s="214" t="str">
        <f>IF(N14&gt;0,N14&amp;"","")</f>
        <v/>
      </c>
      <c r="F14" s="214"/>
      <c r="G14" s="214" t="str">
        <f>IF(O14&gt;0,O14&amp;"","")</f>
        <v/>
      </c>
      <c r="H14" s="215"/>
      <c r="I14" s="216" t="str">
        <f>IF(学校情報!$A$4&lt;&gt;"","",IF(O14&gt;0,TEXT(O14*設定!B14,"#,##円"),""))</f>
        <v/>
      </c>
      <c r="J14" s="214"/>
      <c r="K14" s="217"/>
      <c r="M14" s="101" t="str">
        <f>IF(学校情報!$A$4&lt;&gt;"","",COUNTIF(リレーチーム情報!T5:T16,"〇"))</f>
        <v/>
      </c>
      <c r="N14" s="101" t="str">
        <f>IF(学校情報!$A$4&lt;&gt;"","",COUNTIF(リレーチーム情報!T17:T28,"〇"))</f>
        <v/>
      </c>
      <c r="O14" s="101" t="str">
        <f>IF(学校情報!$A$4&lt;&gt;"","",M14+N14)</f>
        <v/>
      </c>
    </row>
    <row r="15" spans="1:15" ht="26.25" customHeight="1" thickTop="1" thickBot="1">
      <c r="A15" s="189" t="s">
        <v>189</v>
      </c>
      <c r="B15" s="190"/>
      <c r="C15" s="191" t="str">
        <f>IF(学校情報!$A$4&lt;&gt;"","",IF(M13*設定!B13+M14*設定!B14&gt;0,TEXT(M13*設定!B13+M14*設定!B14,"#,##円"),""))</f>
        <v/>
      </c>
      <c r="D15" s="192"/>
      <c r="E15" s="192" t="str">
        <f>IF(学校情報!$A$4&lt;&gt;"","",IF(N13*設定!B13+N14*設定!B14&gt;0,TEXT(N13*設定!B13+N14*設定!B14,"#,##円"),""))</f>
        <v/>
      </c>
      <c r="F15" s="193"/>
      <c r="G15" s="207" t="str">
        <f>IF(学校情報!$A$4&lt;&gt;"","",TEXT(O13*設定!B13+O14*設定!B14,"#,##円"))</f>
        <v/>
      </c>
      <c r="H15" s="208"/>
      <c r="I15" s="208"/>
      <c r="J15" s="208"/>
      <c r="K15" s="209"/>
    </row>
    <row r="16" spans="1:15" ht="26.25" customHeight="1">
      <c r="A16" s="106"/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2" ht="26.25" customHeight="1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9"/>
    </row>
    <row r="18" spans="1:12" ht="26.25" customHeight="1">
      <c r="A18" s="110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11"/>
    </row>
    <row r="19" spans="1:12" ht="26.25" customHeight="1">
      <c r="A19" s="110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11"/>
    </row>
    <row r="20" spans="1:12" ht="26.25" customHeight="1">
      <c r="A20" s="110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11"/>
    </row>
    <row r="21" spans="1:12" ht="26.25" customHeight="1">
      <c r="A21" s="110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11"/>
    </row>
    <row r="22" spans="1:12" ht="26.25" customHeight="1">
      <c r="A22" s="110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11"/>
    </row>
    <row r="23" spans="1:12" ht="26.25" customHeight="1">
      <c r="A23" s="110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11"/>
    </row>
    <row r="24" spans="1:12" ht="26.25" customHeight="1">
      <c r="A24" s="199" t="s">
        <v>192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1"/>
    </row>
    <row r="25" spans="1:12" ht="26.25" customHeight="1">
      <c r="A25" s="199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1"/>
    </row>
    <row r="26" spans="1:12" ht="26.25" customHeight="1">
      <c r="A26" s="110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11"/>
    </row>
    <row r="27" spans="1:12" ht="26.25" customHeight="1">
      <c r="A27" s="110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11"/>
    </row>
    <row r="28" spans="1:12" ht="26.25" customHeight="1">
      <c r="A28" s="110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11"/>
    </row>
    <row r="29" spans="1:12" ht="26.25" customHeight="1">
      <c r="A29" s="110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11"/>
    </row>
    <row r="30" spans="1:12" ht="26.25" customHeight="1">
      <c r="A30" s="110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11"/>
    </row>
    <row r="31" spans="1:12" ht="26.25" customHeight="1">
      <c r="A31" s="110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11"/>
    </row>
    <row r="32" spans="1:12" ht="26.25" customHeight="1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4"/>
    </row>
    <row r="33" spans="1:62" ht="7.5" customHeight="1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</row>
    <row r="34" spans="1:62" ht="14.25" thickBot="1">
      <c r="A34" s="117" t="str">
        <f>設定!$B$1&amp;"　総括申込書（男子）"</f>
        <v>第６８回西日本学生陸上競技対校選手権大会　総括申込書（男子）</v>
      </c>
      <c r="F34" s="143"/>
      <c r="G34" s="182" t="str">
        <f>IF(学校情報!B5&lt;&gt;"",学校情報!B5,"")&amp;"　（様式Ⅰ-２）"</f>
        <v>　（様式Ⅰ-２）</v>
      </c>
      <c r="H34" s="182"/>
      <c r="I34" s="182"/>
      <c r="J34" s="182"/>
      <c r="K34" s="182"/>
      <c r="L34" s="182"/>
    </row>
    <row r="35" spans="1:62" ht="9.9499999999999993" customHeight="1">
      <c r="A35" s="225" t="s">
        <v>14</v>
      </c>
      <c r="B35" s="227" t="s">
        <v>15</v>
      </c>
      <c r="C35" s="227" t="s">
        <v>22</v>
      </c>
      <c r="D35" s="229" t="s">
        <v>228</v>
      </c>
      <c r="E35" s="229" t="s">
        <v>229</v>
      </c>
      <c r="F35" s="227" t="s">
        <v>163</v>
      </c>
      <c r="G35" s="223" t="s">
        <v>172</v>
      </c>
      <c r="H35" s="227" t="s">
        <v>18</v>
      </c>
      <c r="I35" s="232" t="s">
        <v>24</v>
      </c>
      <c r="J35" s="233"/>
      <c r="K35" s="230" t="s">
        <v>152</v>
      </c>
      <c r="L35" s="231"/>
      <c r="R35" s="101" t="s">
        <v>170</v>
      </c>
    </row>
    <row r="36" spans="1:62" ht="9.9499999999999993" customHeight="1" thickBot="1">
      <c r="A36" s="226"/>
      <c r="B36" s="228"/>
      <c r="C36" s="228"/>
      <c r="D36" s="228"/>
      <c r="E36" s="228"/>
      <c r="F36" s="228"/>
      <c r="G36" s="224"/>
      <c r="H36" s="228"/>
      <c r="I36" s="234"/>
      <c r="J36" s="235"/>
      <c r="K36" s="118" t="s">
        <v>173</v>
      </c>
      <c r="L36" s="119" t="s">
        <v>174</v>
      </c>
      <c r="M36" s="101" t="s">
        <v>167</v>
      </c>
      <c r="N36" s="101" t="s">
        <v>168</v>
      </c>
      <c r="O36" s="101" t="s">
        <v>138</v>
      </c>
      <c r="P36" s="101" t="s">
        <v>169</v>
      </c>
      <c r="R36" s="101">
        <v>0</v>
      </c>
      <c r="S36" s="101" t="s">
        <v>171</v>
      </c>
      <c r="X36" s="101" t="s">
        <v>259</v>
      </c>
      <c r="Y36" s="181">
        <v>1</v>
      </c>
      <c r="Z36" s="181"/>
      <c r="AA36" s="181">
        <v>2</v>
      </c>
      <c r="AB36" s="181"/>
      <c r="AC36" s="181">
        <v>3</v>
      </c>
      <c r="AD36" s="181"/>
      <c r="AE36" s="181">
        <v>4</v>
      </c>
      <c r="AF36" s="181"/>
      <c r="AG36" s="181">
        <v>5</v>
      </c>
      <c r="AH36" s="181"/>
      <c r="AI36" s="181">
        <v>6</v>
      </c>
      <c r="AJ36" s="181"/>
      <c r="AK36" s="181">
        <v>7</v>
      </c>
      <c r="AL36" s="181"/>
      <c r="AM36" s="181">
        <v>8</v>
      </c>
      <c r="AN36" s="181"/>
      <c r="AO36" s="181">
        <v>9</v>
      </c>
      <c r="AP36" s="181"/>
      <c r="AQ36" s="181">
        <v>10</v>
      </c>
      <c r="AR36" s="181"/>
      <c r="AS36" s="181">
        <v>11</v>
      </c>
      <c r="AT36" s="181"/>
      <c r="AU36" s="181">
        <v>12</v>
      </c>
      <c r="AV36" s="181"/>
      <c r="AW36" s="181">
        <v>13</v>
      </c>
      <c r="AX36" s="181"/>
      <c r="AY36" s="181">
        <v>14</v>
      </c>
      <c r="AZ36" s="181"/>
      <c r="BA36" s="181">
        <v>15</v>
      </c>
      <c r="BB36" s="181"/>
      <c r="BC36" s="181">
        <v>16</v>
      </c>
      <c r="BD36" s="181"/>
      <c r="BE36" s="181">
        <v>17</v>
      </c>
      <c r="BF36" s="181"/>
      <c r="BG36" s="181">
        <v>18</v>
      </c>
      <c r="BH36" s="181"/>
      <c r="BI36" s="181">
        <v>19</v>
      </c>
      <c r="BJ36" s="181"/>
    </row>
    <row r="37" spans="1:62" s="127" customFormat="1" ht="12.6" customHeight="1">
      <c r="A37" s="120">
        <f>IF(ISNA(VLOOKUP($C$2&amp;N37,選手データ!A:H,3,FALSE)),"",VLOOKUP($C$2&amp;N37,選手データ!A:H,3,FALSE))</f>
        <v>0</v>
      </c>
      <c r="B37" s="121">
        <f>IF(A37&lt;&gt;"",VLOOKUP($C$2&amp;N37,選手データ!A:H,4,FALSE),"")</f>
        <v>0</v>
      </c>
      <c r="C37" s="121">
        <f>IF(A37&lt;&gt;"",VLOOKUP($C$2&amp;N37,選手データ!A:H,5,FALSE),"")</f>
        <v>0</v>
      </c>
      <c r="D37" s="121">
        <f>IF(A37&lt;&gt;"",VLOOKUP($C$2&amp;N37,選手データ!A:H,6,FALSE),"")</f>
        <v>0</v>
      </c>
      <c r="E37" s="121">
        <f>IF(A37&lt;&gt;"",VLOOKUP($C$2&amp;N37,選手データ!A:H,7,FALSE),"")</f>
        <v>0</v>
      </c>
      <c r="F37" s="122">
        <f>IF(A37&lt;&gt;"",VLOOKUP($C$2&amp;N37,選手データ!A:H,8,FALSE),"")</f>
        <v>0</v>
      </c>
      <c r="G37" s="123" t="str">
        <f>IF(F37&lt;&gt;"",IF(DATEDIF(F37,設定!$B$12,"Y")&lt;20,"〇",""),"")</f>
        <v/>
      </c>
      <c r="H37" s="124" t="str">
        <f ca="1">IF(ISNA(O37),"",O37)</f>
        <v/>
      </c>
      <c r="I37" s="125" t="str">
        <f ca="1">IF(ISNA(Q37),"",Q37)</f>
        <v/>
      </c>
      <c r="J37" s="124" t="str">
        <f ca="1">IF(ISNA(P37),"",P37)</f>
        <v/>
      </c>
      <c r="K37" s="122" t="str">
        <f>IF(A37&lt;&gt;"",IF(COUNTIF(リレーチーム情報!$B$5:$B$10,A37&amp;E37)=1,"〇",""),"")</f>
        <v/>
      </c>
      <c r="L37" s="126" t="str">
        <f>IF(A37&lt;&gt;"",IF(COUNTIF(リレーチーム情報!$B$11:$B$16,A37&amp;E37)=1,"〇",""),"")</f>
        <v/>
      </c>
      <c r="M37" s="127">
        <f>IF(学校情報!$A$4&lt;&gt;"",0,1)</f>
        <v>0</v>
      </c>
      <c r="N37" s="127" t="str">
        <f>IF(M37&lt;&gt;0,VLOOKUP(M37,選手情報!BF:BG,2,FALSE),"")</f>
        <v/>
      </c>
      <c r="O37" s="127" t="str">
        <f ca="1">IF(M37&lt;&gt;0,VLOOKUP(N37,OFFSET(選手情報!$A$6:$W$119,IF(M37&lt;&gt;M36,0,R36),0),13,FALSE),"")</f>
        <v/>
      </c>
      <c r="P37" s="127" t="str">
        <f ca="1">IF(M37&lt;&gt;0,VLOOKUP(N37,OFFSET(選手情報!$A$6:$W$119,IF(M37&lt;&gt;M36,0,R36),0),16,FALSE),"")</f>
        <v/>
      </c>
      <c r="Q37" s="127" t="str">
        <f ca="1">IF(M37&lt;&gt;0,VLOOKUP(N37,OFFSET(選手情報!$A$6:$W$119,IF(M37&lt;&gt;M36,0,R36),0),21,FALSE),"")</f>
        <v/>
      </c>
      <c r="R37" s="127">
        <f ca="1">IF(M37&lt;&gt;0,VLOOKUP(N37,OFFSET(選手情報!$A$6:$BD$119,IF(M37&lt;&gt;M36,0,R36),0),56,FALSE),0)</f>
        <v>0</v>
      </c>
      <c r="S37" s="127">
        <f ca="1">IF(M37&lt;&gt;0,IF(ISNA(R37),0,COUNTIF(OFFSET(選手情報!$A$6:$A$119,R37,0),N37)),0)</f>
        <v>0</v>
      </c>
      <c r="U37" s="127">
        <f>IF(ISNA(N37),0,IF(N37&lt;&gt;N36,1,0))</f>
        <v>1</v>
      </c>
      <c r="V37" s="127">
        <f ca="1">IF(ISNA(O37),0,1)</f>
        <v>1</v>
      </c>
      <c r="W37" s="127">
        <f ca="1">IF(ISNA(N37),0,IF(AND(N37&lt;&gt;"",ISNA(O37)),1,0))</f>
        <v>0</v>
      </c>
      <c r="X37" s="127" t="str">
        <f ca="1">Y37&amp;AA37&amp;AC37&amp;AE37&amp;AG37&amp;AI37&amp;AK37&amp;AM37&amp;AO37&amp;AQ37&amp;AS37&amp;AU37&amp;AW37&amp;AY37&amp;BA37&amp;BC37&amp;BE37&amp;BG37&amp;BI37</f>
        <v>///////////////////</v>
      </c>
      <c r="Y37" s="127" t="str">
        <f>IF($A37&lt;&gt;"",IF(ISNA(VLOOKUP($N37,選手情報!$A$6:$M$119,13,FALSE)),"","/"&amp;VLOOKUP($N37,選手情報!$A$6:$M$119,13,FALSE)),"")</f>
        <v>/</v>
      </c>
      <c r="Z37" s="127">
        <f ca="1">IF(Y37&lt;&gt;"",IF(ISNA(VLOOKUP($N37,OFFSET(選手情報!$A$6:$BD$119,0,0),56,FALSE)),"",VLOOKUP($N37,OFFSET(選手情報!$A$6:$BD$119,0,0),56,FALSE)),"")</f>
        <v>1</v>
      </c>
      <c r="AA37" s="127" t="str">
        <f ca="1">IF(Z37&lt;&gt;"",IF(ISNA(VLOOKUP($N37,OFFSET(選手情報!$A$6:$M$119,Z37,0),13,FALSE)),"","/"&amp;VLOOKUP($N37,OFFSET(選手情報!$A$6:$M$119,Z37,0),13,FALSE)),"")</f>
        <v>/</v>
      </c>
      <c r="AB37" s="127">
        <f ca="1">IF(Z37&lt;&gt;"",IF(ISNA(VLOOKUP($N37,OFFSET(選手情報!$A$6:$BD$119,Z37,0),56,FALSE)),"",VLOOKUP($N37,OFFSET(選手情報!$A$6:$BD$119,Z37,0),56,FALSE)),"")</f>
        <v>2</v>
      </c>
      <c r="AC37" s="127" t="str">
        <f ca="1">IF(AB37&lt;&gt;"",IF(ISNA(VLOOKUP($N37,OFFSET(選手情報!$A$6:$M$119,AB37,0),13,FALSE)),"","/"&amp;VLOOKUP($N37,OFFSET(選手情報!$A$6:$M$119,AB37,0),13,FALSE)),"")</f>
        <v>/</v>
      </c>
      <c r="AD37" s="127">
        <f ca="1">IF(AB37&lt;&gt;"",IF(ISNA(VLOOKUP($N37,OFFSET(選手情報!$A$6:$BD$119,AB37,0),56,FALSE)),"",VLOOKUP($N37,OFFSET(選手情報!$A$6:$BD$119,AB37,0),56,FALSE)),"")</f>
        <v>3</v>
      </c>
      <c r="AE37" s="127" t="str">
        <f ca="1">IF(AD37&lt;&gt;"",IF(ISNA(VLOOKUP($N37,OFFSET(選手情報!$A$6:$M$119,AD37,0),13,FALSE)),"","/"&amp;VLOOKUP($N37,OFFSET(選手情報!$A$6:$M$119,AD37,0),13,FALSE)),"")</f>
        <v>/</v>
      </c>
      <c r="AF37" s="127">
        <f ca="1">IF(AD37&lt;&gt;"",IF(ISNA(VLOOKUP($N37,OFFSET(選手情報!$A$6:$BD$119,AD37,0),56,FALSE)),"",VLOOKUP($N37,OFFSET(選手情報!$A$6:$BD$119,AD37,0),56,FALSE)),"")</f>
        <v>4</v>
      </c>
      <c r="AG37" s="127" t="str">
        <f ca="1">IF(AF37&lt;&gt;"",IF(ISNA(VLOOKUP($N37,OFFSET(選手情報!$A$6:$M$119,AF37,0),13,FALSE)),"","/"&amp;VLOOKUP($N37,OFFSET(選手情報!$A$6:$M$119,AF37,0),13,FALSE)),"")</f>
        <v>/</v>
      </c>
      <c r="AH37" s="127">
        <f ca="1">IF(AF37&lt;&gt;"",IF(ISNA(VLOOKUP($N37,OFFSET(選手情報!$A$6:$BD$119,AF37,0),56,FALSE)),"",VLOOKUP($N37,OFFSET(選手情報!$A$6:$BD$119,AF37,0),56,FALSE)),"")</f>
        <v>5</v>
      </c>
      <c r="AI37" s="127" t="str">
        <f ca="1">IF(AH37&lt;&gt;"",IF(ISNA(VLOOKUP($N37,OFFSET(選手情報!$A$6:$M$119,AH37,0),13,FALSE)),"","/"&amp;VLOOKUP($N37,OFFSET(選手情報!$A$6:$M$119,AH37,0),13,FALSE)),"")</f>
        <v>/</v>
      </c>
      <c r="AJ37" s="127">
        <f ca="1">IF(AH37&lt;&gt;"",IF(ISNA(VLOOKUP($N37,OFFSET(選手情報!$A$6:$BD$119,AH37,0),56,FALSE)),"",VLOOKUP($N37,OFFSET(選手情報!$A$6:$BD$119,AH37,0),56,FALSE)),"")</f>
        <v>6</v>
      </c>
      <c r="AK37" s="127" t="str">
        <f ca="1">IF(AJ37&lt;&gt;"",IF(ISNA(VLOOKUP($N37,OFFSET(選手情報!$A$6:$M$119,AJ37,0),13,FALSE)),"","/"&amp;VLOOKUP($N37,OFFSET(選手情報!$A$6:$M$119,AJ37,0),13,FALSE)),"")</f>
        <v>/</v>
      </c>
      <c r="AL37" s="127">
        <f ca="1">IF(AJ37&lt;&gt;"",IF(ISNA(VLOOKUP($N37,OFFSET(選手情報!$A$6:$BD$119,AJ37,0),56,FALSE)),"",VLOOKUP($N37,OFFSET(選手情報!$A$6:$BD$119,AJ37,0),56,FALSE)),"")</f>
        <v>7</v>
      </c>
      <c r="AM37" s="127" t="str">
        <f ca="1">IF(AL37&lt;&gt;"",IF(ISNA(VLOOKUP($N37,OFFSET(選手情報!$A$6:$M$119,AL37,0),13,FALSE)),"","/"&amp;VLOOKUP($N37,OFFSET(選手情報!$A$6:$M$119,AL37,0),13,FALSE)),"")</f>
        <v>/</v>
      </c>
      <c r="AN37" s="127">
        <f ca="1">IF(AL37&lt;&gt;"",IF(ISNA(VLOOKUP($N37,OFFSET(選手情報!$A$6:$BD$119,AL37,0),56,FALSE)),"",VLOOKUP($N37,OFFSET(選手情報!$A$6:$BD$119,AL37,0),56,FALSE)),"")</f>
        <v>8</v>
      </c>
      <c r="AO37" s="127" t="str">
        <f ca="1">IF(AN37&lt;&gt;"",IF(ISNA(VLOOKUP($N37,OFFSET(選手情報!$A$6:$M$119,AN37,0),13,FALSE)),"","/"&amp;VLOOKUP($N37,OFFSET(選手情報!$A$6:$M$119,AN37,0),13,FALSE)),"")</f>
        <v>/</v>
      </c>
      <c r="AP37" s="127">
        <f ca="1">IF(AN37&lt;&gt;"",IF(ISNA(VLOOKUP($N37,OFFSET(選手情報!$A$6:$BD$119,AN37,0),56,FALSE)),"",VLOOKUP($N37,OFFSET(選手情報!$A$6:$BD$119,AN37,0),56,FALSE)),"")</f>
        <v>9</v>
      </c>
      <c r="AQ37" s="127" t="str">
        <f ca="1">IF(AP37&lt;&gt;"",IF(ISNA(VLOOKUP($N37,OFFSET(選手情報!$A$6:$M$119,AP37,0),13,FALSE)),"","/"&amp;VLOOKUP($N37,OFFSET(選手情報!$A$6:$M$119,AP37,0),13,FALSE)),"")</f>
        <v>/</v>
      </c>
      <c r="AR37" s="127">
        <f ca="1">IF(AP37&lt;&gt;"",IF(ISNA(VLOOKUP($N37,OFFSET(選手情報!$A$6:$BD$119,AP37,0),56,FALSE)),"",VLOOKUP($N37,OFFSET(選手情報!$A$6:$BD$119,AP37,0),56,FALSE)),"")</f>
        <v>10</v>
      </c>
      <c r="AS37" s="127" t="str">
        <f ca="1">IF(AR37&lt;&gt;"",IF(ISNA(VLOOKUP($N37,OFFSET(選手情報!$A$6:$M$119,AR37,0),13,FALSE)),"","/"&amp;VLOOKUP($N37,OFFSET(選手情報!$A$6:$M$119,AR37,0),13,FALSE)),"")</f>
        <v>/</v>
      </c>
      <c r="AT37" s="127">
        <f ca="1">IF(AR37&lt;&gt;"",IF(ISNA(VLOOKUP($N37,OFFSET(選手情報!$A$6:$BD$119,AR37,0),56,FALSE)),"",VLOOKUP($N37,OFFSET(選手情報!$A$6:$BD$119,AR37,0),56,FALSE)),"")</f>
        <v>11</v>
      </c>
      <c r="AU37" s="127" t="str">
        <f ca="1">IF(AT37&lt;&gt;"",IF(ISNA(VLOOKUP($N37,OFFSET(選手情報!$A$6:$M$119,AT37,0),13,FALSE)),"","/"&amp;VLOOKUP($N37,OFFSET(選手情報!$A$6:$M$119,AT37,0),13,FALSE)),"")</f>
        <v>/</v>
      </c>
      <c r="AV37" s="127">
        <f ca="1">IF(AT37&lt;&gt;"",IF(ISNA(VLOOKUP($N37,OFFSET(選手情報!$A$6:$BD$119,AT37,0),56,FALSE)),"",VLOOKUP($N37,OFFSET(選手情報!$A$6:$BD$119,AT37,0),56,FALSE)),"")</f>
        <v>12</v>
      </c>
      <c r="AW37" s="127" t="str">
        <f ca="1">IF(AV37&lt;&gt;"",IF(ISNA(VLOOKUP($N37,OFFSET(選手情報!$A$6:$M$119,AV37,0),13,FALSE)),"","/"&amp;VLOOKUP($N37,OFFSET(選手情報!$A$6:$M$119,AV37,0),13,FALSE)),"")</f>
        <v>/</v>
      </c>
      <c r="AX37" s="127">
        <f ca="1">IF(AV37&lt;&gt;"",IF(ISNA(VLOOKUP($N37,OFFSET(選手情報!$A$6:$BD$119,AV37,0),56,FALSE)),"",VLOOKUP($N37,OFFSET(選手情報!$A$6:$BD$119,AV37,0),56,FALSE)),"")</f>
        <v>13</v>
      </c>
      <c r="AY37" s="127" t="str">
        <f ca="1">IF(AX37&lt;&gt;"",IF(ISNA(VLOOKUP($N37,OFFSET(選手情報!$A$6:$M$119,AX37,0),13,FALSE)),"","/"&amp;VLOOKUP($N37,OFFSET(選手情報!$A$6:$M$119,AX37,0),13,FALSE)),"")</f>
        <v>/</v>
      </c>
      <c r="AZ37" s="127">
        <f ca="1">IF(AX37&lt;&gt;"",IF(ISNA(VLOOKUP($N37,OFFSET(選手情報!$A$6:$BD$119,AX37,0),56,FALSE)),"",VLOOKUP($N37,OFFSET(選手情報!$A$6:$BD$119,AX37,0),56,FALSE)),"")</f>
        <v>14</v>
      </c>
      <c r="BA37" s="127" t="str">
        <f ca="1">IF(AZ37&lt;&gt;"",IF(ISNA(VLOOKUP($N37,OFFSET(選手情報!$A$6:$M$119,AZ37,0),13,FALSE)),"","/"&amp;VLOOKUP($N37,OFFSET(選手情報!$A$6:$M$119,AZ37,0),13,FALSE)),"")</f>
        <v>/</v>
      </c>
      <c r="BB37" s="127">
        <f ca="1">IF(AZ37&lt;&gt;"",IF(ISNA(VLOOKUP($N37,OFFSET(選手情報!$A$6:$BD$119,AZ37,0),56,FALSE)),"",VLOOKUP($N37,OFFSET(選手情報!$A$6:$BD$119,AZ37,0),56,FALSE)),"")</f>
        <v>15</v>
      </c>
      <c r="BC37" s="127" t="str">
        <f ca="1">IF(BB37&lt;&gt;"",IF(ISNA(VLOOKUP($N37,OFFSET(選手情報!$A$6:$M$119,BB37,0),13,FALSE)),"","/"&amp;VLOOKUP($N37,OFFSET(選手情報!$A$6:$M$119,BB37,0),13,FALSE)),"")</f>
        <v>/</v>
      </c>
      <c r="BD37" s="127">
        <f ca="1">IF(BB37&lt;&gt;"",IF(ISNA(VLOOKUP($N37,OFFSET(選手情報!$A$6:$BD$119,BB37,0),56,FALSE)),"",VLOOKUP($N37,OFFSET(選手情報!$A$6:$BD$119,BB37,0),56,FALSE)),"")</f>
        <v>16</v>
      </c>
      <c r="BE37" s="127" t="str">
        <f ca="1">IF(BD37&lt;&gt;"",IF(ISNA(VLOOKUP($N37,OFFSET(選手情報!$A$6:$M$119,BD37,0),13,FALSE)),"","/"&amp;VLOOKUP($N37,OFFSET(選手情報!$A$6:$M$119,BD37,0),13,FALSE)),"")</f>
        <v>/</v>
      </c>
      <c r="BF37" s="127">
        <f ca="1">IF(BD37&lt;&gt;"",IF(ISNA(VLOOKUP($N37,OFFSET(選手情報!$A$6:$BD$119,BD37,0),56,FALSE)),"",VLOOKUP($N37,OFFSET(選手情報!$A$6:$BD$119,BD37,0),56,FALSE)),"")</f>
        <v>17</v>
      </c>
      <c r="BG37" s="127" t="str">
        <f ca="1">IF(BF37&lt;&gt;"",IF(ISNA(VLOOKUP($N37,OFFSET(選手情報!$A$6:$M$119,BF37,0),13,FALSE)),"","/"&amp;VLOOKUP($N37,OFFSET(選手情報!$A$6:$M$119,BF37,0),13,FALSE)),"")</f>
        <v>/</v>
      </c>
      <c r="BH37" s="127">
        <f ca="1">IF(BF37&lt;&gt;"",IF(ISNA(VLOOKUP($N37,OFFSET(選手情報!$A$6:$BD$119,BF37,0),56,FALSE)),"",VLOOKUP($N37,OFFSET(選手情報!$A$6:$BD$119,BF37,0),56,FALSE)),"")</f>
        <v>18</v>
      </c>
      <c r="BI37" s="127" t="str">
        <f ca="1">IF(BH37&lt;&gt;"",IF(ISNA(VLOOKUP($N37,OFFSET(選手情報!$A$6:$M$119,BH37,0),13,FALSE)),"","/"&amp;VLOOKUP($N37,OFFSET(選手情報!$A$6:$M$119,BH37,0),13,FALSE)),"")</f>
        <v>/</v>
      </c>
    </row>
    <row r="38" spans="1:62" s="127" customFormat="1" ht="12.6" customHeight="1">
      <c r="A38" s="128" t="str">
        <f>IF(ISNA(VLOOKUP($C$2&amp;N38,選手データ!A:H,3,FALSE)),"",IF(M38&lt;&gt;M37,VLOOKUP($C$2&amp;N38,選手データ!A:H,3,FALSE),""))</f>
        <v/>
      </c>
      <c r="B38" s="129" t="str">
        <f>IF(A38&lt;&gt;"",VLOOKUP($C$2&amp;N38,選手データ!A:H,4,FALSE),"")</f>
        <v/>
      </c>
      <c r="C38" s="129" t="str">
        <f>IF(A38&lt;&gt;"",VLOOKUP($C$2&amp;N38,選手データ!A:H,5,FALSE),"")</f>
        <v/>
      </c>
      <c r="D38" s="129" t="str">
        <f>IF(A38&lt;&gt;"",VLOOKUP($C$2&amp;N38,選手データ!A:H,6,FALSE),"")</f>
        <v/>
      </c>
      <c r="E38" s="129" t="str">
        <f>IF(A38&lt;&gt;"",VLOOKUP($C$2&amp;N38,選手データ!A:H,7,FALSE),"")</f>
        <v/>
      </c>
      <c r="F38" s="130" t="str">
        <f>IF(A38&lt;&gt;"",VLOOKUP($C$2&amp;N38,選手データ!A:H,8,FALSE),"")</f>
        <v/>
      </c>
      <c r="G38" s="130" t="str">
        <f>IF(F38&lt;&gt;"",IF(DATEDIF(F38,設定!$B$12,"Y")&lt;20,"〇",""),"")</f>
        <v/>
      </c>
      <c r="H38" s="131" t="str">
        <f t="shared" ref="H38:H105" ca="1" si="0">IF(ISNA(O38),"",O38)</f>
        <v/>
      </c>
      <c r="I38" s="132" t="str">
        <f t="shared" ref="I38:I105" ca="1" si="1">IF(ISNA(Q38),"",Q38)</f>
        <v/>
      </c>
      <c r="J38" s="131" t="str">
        <f t="shared" ref="J38:J105" ca="1" si="2">IF(ISNA(P38),"",P38)</f>
        <v/>
      </c>
      <c r="K38" s="130" t="str">
        <f>IF(A38&lt;&gt;"",IF(COUNTIF(リレーチーム情報!$B$5:$B$10,A38&amp;E38)=1,"〇",""),"")</f>
        <v/>
      </c>
      <c r="L38" s="133" t="str">
        <f>IF(A38&lt;&gt;"",IF(COUNTIF(リレーチーム情報!$B$11:$B$16,A38&amp;E38)=1,"〇",""),"")</f>
        <v/>
      </c>
      <c r="M38" s="127">
        <f>IF(学校情報!$A$4&lt;&gt;"",0,IF(S37=0,MAX($M37:M$37)+1,M37))</f>
        <v>0</v>
      </c>
      <c r="N38" s="127" t="str">
        <f>IF(M38&lt;&gt;0,VLOOKUP(M38,選手情報!BF:BG,2,FALSE),"")</f>
        <v/>
      </c>
      <c r="O38" s="127" t="str">
        <f ca="1">IF(M38&lt;&gt;0,VLOOKUP(N38,OFFSET(選手情報!$A$6:$W$119,IF(M38&lt;&gt;M37,0,R37),0),13,FALSE),"")</f>
        <v/>
      </c>
      <c r="P38" s="127" t="str">
        <f ca="1">IF(M38&lt;&gt;0,VLOOKUP(N38,OFFSET(選手情報!$A$6:$W$119,IF(M38&lt;&gt;M37,0,R37),0),16,FALSE),"")</f>
        <v/>
      </c>
      <c r="Q38" s="127" t="str">
        <f ca="1">IF(M38&lt;&gt;0,VLOOKUP(N38,OFFSET(選手情報!$A$6:$W$119,IF(M38&lt;&gt;M37,0,R37),0),21,FALSE),"")</f>
        <v/>
      </c>
      <c r="R38" s="127">
        <f ca="1">IF(M38&lt;&gt;0,VLOOKUP(N38,OFFSET(選手情報!$A$6:$BD$119,IF(M38&lt;&gt;M37,0,R37),0),56,FALSE),0)</f>
        <v>0</v>
      </c>
      <c r="S38" s="127">
        <f ca="1">IF(M38&lt;&gt;0,IF(ISNA(R38),0,COUNTIF(OFFSET(選手情報!$A$6:$A$119,R38,0),N38)),0)</f>
        <v>0</v>
      </c>
      <c r="U38" s="127">
        <f t="shared" ref="U38:U91" si="3">IF(ISNA(N38),0,IF(N38&lt;&gt;N37,1,0))</f>
        <v>0</v>
      </c>
      <c r="V38" s="127">
        <f t="shared" ref="V38:V101" ca="1" si="4">IF(ISNA(O38),0,1)</f>
        <v>1</v>
      </c>
      <c r="W38" s="127">
        <f t="shared" ref="W38:W101" ca="1" si="5">IF(ISNA(N38),0,IF(AND(N38&lt;&gt;"",ISNA(O38)),1,0))</f>
        <v>0</v>
      </c>
      <c r="X38" s="127" t="str">
        <f t="shared" ref="X38:X101" ca="1" si="6">Y38&amp;AA38&amp;AC38&amp;AE38&amp;AG38&amp;AI38&amp;AK38&amp;AM38&amp;AO38&amp;AQ38&amp;AS38&amp;AU38&amp;AW38&amp;AY38&amp;BA38&amp;BC38&amp;BE38&amp;BG38&amp;BI38</f>
        <v/>
      </c>
      <c r="Y38" s="127" t="str">
        <f>IF($A38&lt;&gt;"",IF(ISNA(VLOOKUP($N38,選手情報!$A$6:$M$119,13,FALSE)),"","/"&amp;VLOOKUP($N38,選手情報!$A$6:$M$119,13,FALSE)),"")</f>
        <v/>
      </c>
      <c r="Z38" s="127" t="str">
        <f ca="1">IF(Y38&lt;&gt;"",IF(ISNA(VLOOKUP($N38,OFFSET(選手情報!$A$6:$BD$119,0,0),56,FALSE)),"",VLOOKUP($N38,OFFSET(選手情報!$A$6:$BD$119,0,0),56,FALSE)),"")</f>
        <v/>
      </c>
      <c r="AA38" s="127" t="str">
        <f ca="1">IF(Z38&lt;&gt;"",IF(ISNA(VLOOKUP($N38,OFFSET(選手情報!$A$6:$M$119,Z38,0),13,FALSE)),"","/"&amp;VLOOKUP($N38,OFFSET(選手情報!$A$6:$M$119,Z38,0),13,FALSE)),"")</f>
        <v/>
      </c>
      <c r="AB38" s="127" t="str">
        <f ca="1">IF(Z38&lt;&gt;"",IF(ISNA(VLOOKUP($N38,OFFSET(選手情報!$A$6:$BD$119,Z38,0),56,FALSE)),"",VLOOKUP($N38,OFFSET(選手情報!$A$6:$BD$119,Z38,0),56,FALSE)),"")</f>
        <v/>
      </c>
      <c r="AC38" s="127" t="str">
        <f ca="1">IF(AB38&lt;&gt;"",IF(ISNA(VLOOKUP($N38,OFFSET(選手情報!$A$6:$M$119,AB38,0),13,FALSE)),"","/"&amp;VLOOKUP($N38,OFFSET(選手情報!$A$6:$M$119,AB38,0),13,FALSE)),"")</f>
        <v/>
      </c>
      <c r="AD38" s="127" t="str">
        <f ca="1">IF(AB38&lt;&gt;"",IF(ISNA(VLOOKUP($N38,OFFSET(選手情報!$A$6:$BD$119,AB38,0),56,FALSE)),"",VLOOKUP($N38,OFFSET(選手情報!$A$6:$BD$119,AB38,0),56,FALSE)),"")</f>
        <v/>
      </c>
      <c r="AE38" s="127" t="str">
        <f ca="1">IF(AD38&lt;&gt;"",IF(ISNA(VLOOKUP($N38,OFFSET(選手情報!$A$6:$M$119,AD38,0),13,FALSE)),"","/"&amp;VLOOKUP($N38,OFFSET(選手情報!$A$6:$M$119,AD38,0),13,FALSE)),"")</f>
        <v/>
      </c>
      <c r="AF38" s="127" t="str">
        <f ca="1">IF(AD38&lt;&gt;"",IF(ISNA(VLOOKUP($N38,OFFSET(選手情報!$A$6:$BD$119,AD38,0),56,FALSE)),"",VLOOKUP($N38,OFFSET(選手情報!$A$6:$BD$119,AD38,0),56,FALSE)),"")</f>
        <v/>
      </c>
      <c r="AG38" s="127" t="str">
        <f ca="1">IF(AF38&lt;&gt;"",IF(ISNA(VLOOKUP($N38,OFFSET(選手情報!$A$6:$M$119,AF38,0),13,FALSE)),"","/"&amp;VLOOKUP($N38,OFFSET(選手情報!$A$6:$M$119,AF38,0),13,FALSE)),"")</f>
        <v/>
      </c>
      <c r="AH38" s="127" t="str">
        <f ca="1">IF(AF38&lt;&gt;"",IF(ISNA(VLOOKUP($N38,OFFSET(選手情報!$A$6:$BD$119,AF38,0),56,FALSE)),"",VLOOKUP($N38,OFFSET(選手情報!$A$6:$BD$119,AF38,0),56,FALSE)),"")</f>
        <v/>
      </c>
      <c r="AI38" s="127" t="str">
        <f ca="1">IF(AH38&lt;&gt;"",IF(ISNA(VLOOKUP($N38,OFFSET(選手情報!$A$6:$M$119,AH38,0),13,FALSE)),"","/"&amp;VLOOKUP($N38,OFFSET(選手情報!$A$6:$M$119,AH38,0),13,FALSE)),"")</f>
        <v/>
      </c>
      <c r="AJ38" s="127" t="str">
        <f ca="1">IF(AH38&lt;&gt;"",IF(ISNA(VLOOKUP($N38,OFFSET(選手情報!$A$6:$BD$119,AH38,0),56,FALSE)),"",VLOOKUP($N38,OFFSET(選手情報!$A$6:$BD$119,AH38,0),56,FALSE)),"")</f>
        <v/>
      </c>
      <c r="AK38" s="127" t="str">
        <f ca="1">IF(AJ38&lt;&gt;"",IF(ISNA(VLOOKUP($N38,OFFSET(選手情報!$A$6:$M$119,AJ38,0),13,FALSE)),"","/"&amp;VLOOKUP($N38,OFFSET(選手情報!$A$6:$M$119,AJ38,0),13,FALSE)),"")</f>
        <v/>
      </c>
      <c r="AL38" s="127" t="str">
        <f ca="1">IF(AJ38&lt;&gt;"",IF(ISNA(VLOOKUP($N38,OFFSET(選手情報!$A$6:$BD$119,AJ38,0),56,FALSE)),"",VLOOKUP($N38,OFFSET(選手情報!$A$6:$BD$119,AJ38,0),56,FALSE)),"")</f>
        <v/>
      </c>
      <c r="AM38" s="127" t="str">
        <f ca="1">IF(AL38&lt;&gt;"",IF(ISNA(VLOOKUP($N38,OFFSET(選手情報!$A$6:$M$119,AL38,0),13,FALSE)),"","/"&amp;VLOOKUP($N38,OFFSET(選手情報!$A$6:$M$119,AL38,0),13,FALSE)),"")</f>
        <v/>
      </c>
      <c r="AN38" s="127" t="str">
        <f ca="1">IF(AL38&lt;&gt;"",IF(ISNA(VLOOKUP($N38,OFFSET(選手情報!$A$6:$BD$119,AL38,0),56,FALSE)),"",VLOOKUP($N38,OFFSET(選手情報!$A$6:$BD$119,AL38,0),56,FALSE)),"")</f>
        <v/>
      </c>
      <c r="AO38" s="127" t="str">
        <f ca="1">IF(AN38&lt;&gt;"",IF(ISNA(VLOOKUP($N38,OFFSET(選手情報!$A$6:$M$119,AN38,0),13,FALSE)),"","/"&amp;VLOOKUP($N38,OFFSET(選手情報!$A$6:$M$119,AN38,0),13,FALSE)),"")</f>
        <v/>
      </c>
      <c r="AP38" s="127" t="str">
        <f ca="1">IF(AN38&lt;&gt;"",IF(ISNA(VLOOKUP($N38,OFFSET(選手情報!$A$6:$BD$119,AN38,0),56,FALSE)),"",VLOOKUP($N38,OFFSET(選手情報!$A$6:$BD$119,AN38,0),56,FALSE)),"")</f>
        <v/>
      </c>
      <c r="AQ38" s="127" t="str">
        <f ca="1">IF(AP38&lt;&gt;"",IF(ISNA(VLOOKUP($N38,OFFSET(選手情報!$A$6:$M$119,AP38,0),13,FALSE)),"","/"&amp;VLOOKUP($N38,OFFSET(選手情報!$A$6:$M$119,AP38,0),13,FALSE)),"")</f>
        <v/>
      </c>
      <c r="AR38" s="127" t="str">
        <f ca="1">IF(AP38&lt;&gt;"",IF(ISNA(VLOOKUP($N38,OFFSET(選手情報!$A$6:$BD$119,AP38,0),56,FALSE)),"",VLOOKUP($N38,OFFSET(選手情報!$A$6:$BD$119,AP38,0),56,FALSE)),"")</f>
        <v/>
      </c>
      <c r="AS38" s="127" t="str">
        <f ca="1">IF(AR38&lt;&gt;"",IF(ISNA(VLOOKUP($N38,OFFSET(選手情報!$A$6:$M$119,AR38,0),13,FALSE)),"","/"&amp;VLOOKUP($N38,OFFSET(選手情報!$A$6:$M$119,AR38,0),13,FALSE)),"")</f>
        <v/>
      </c>
      <c r="AT38" s="127" t="str">
        <f ca="1">IF(AR38&lt;&gt;"",IF(ISNA(VLOOKUP($N38,OFFSET(選手情報!$A$6:$BD$119,AR38,0),56,FALSE)),"",VLOOKUP($N38,OFFSET(選手情報!$A$6:$BD$119,AR38,0),56,FALSE)),"")</f>
        <v/>
      </c>
      <c r="AU38" s="127" t="str">
        <f ca="1">IF(AT38&lt;&gt;"",IF(ISNA(VLOOKUP($N38,OFFSET(選手情報!$A$6:$M$119,AT38,0),13,FALSE)),"","/"&amp;VLOOKUP($N38,OFFSET(選手情報!$A$6:$M$119,AT38,0),13,FALSE)),"")</f>
        <v/>
      </c>
      <c r="AV38" s="127" t="str">
        <f ca="1">IF(AT38&lt;&gt;"",IF(ISNA(VLOOKUP($N38,OFFSET(選手情報!$A$6:$BD$119,AT38,0),56,FALSE)),"",VLOOKUP($N38,OFFSET(選手情報!$A$6:$BD$119,AT38,0),56,FALSE)),"")</f>
        <v/>
      </c>
      <c r="AW38" s="127" t="str">
        <f ca="1">IF(AV38&lt;&gt;"",IF(ISNA(VLOOKUP($N38,OFFSET(選手情報!$A$6:$M$119,AV38,0),13,FALSE)),"","/"&amp;VLOOKUP($N38,OFFSET(選手情報!$A$6:$M$119,AV38,0),13,FALSE)),"")</f>
        <v/>
      </c>
      <c r="AX38" s="127" t="str">
        <f ca="1">IF(AV38&lt;&gt;"",IF(ISNA(VLOOKUP($N38,OFFSET(選手情報!$A$6:$BD$119,AV38,0),56,FALSE)),"",VLOOKUP($N38,OFFSET(選手情報!$A$6:$BD$119,AV38,0),56,FALSE)),"")</f>
        <v/>
      </c>
      <c r="AY38" s="127" t="str">
        <f ca="1">IF(AX38&lt;&gt;"",IF(ISNA(VLOOKUP($N38,OFFSET(選手情報!$A$6:$M$119,AX38,0),13,FALSE)),"","/"&amp;VLOOKUP($N38,OFFSET(選手情報!$A$6:$M$119,AX38,0),13,FALSE)),"")</f>
        <v/>
      </c>
      <c r="AZ38" s="127" t="str">
        <f ca="1">IF(AX38&lt;&gt;"",IF(ISNA(VLOOKUP($N38,OFFSET(選手情報!$A$6:$BD$119,AX38,0),56,FALSE)),"",VLOOKUP($N38,OFFSET(選手情報!$A$6:$BD$119,AX38,0),56,FALSE)),"")</f>
        <v/>
      </c>
      <c r="BA38" s="127" t="str">
        <f ca="1">IF(AZ38&lt;&gt;"",IF(ISNA(VLOOKUP($N38,OFFSET(選手情報!$A$6:$M$119,AZ38,0),13,FALSE)),"","/"&amp;VLOOKUP($N38,OFFSET(選手情報!$A$6:$M$119,AZ38,0),13,FALSE)),"")</f>
        <v/>
      </c>
      <c r="BB38" s="127" t="str">
        <f ca="1">IF(AZ38&lt;&gt;"",IF(ISNA(VLOOKUP($N38,OFFSET(選手情報!$A$6:$BD$119,AZ38,0),56,FALSE)),"",VLOOKUP($N38,OFFSET(選手情報!$A$6:$BD$119,AZ38,0),56,FALSE)),"")</f>
        <v/>
      </c>
      <c r="BC38" s="127" t="str">
        <f ca="1">IF(BB38&lt;&gt;"",IF(ISNA(VLOOKUP($N38,OFFSET(選手情報!$A$6:$M$119,BB38,0),13,FALSE)),"","/"&amp;VLOOKUP($N38,OFFSET(選手情報!$A$6:$M$119,BB38,0),13,FALSE)),"")</f>
        <v/>
      </c>
      <c r="BD38" s="127" t="str">
        <f ca="1">IF(BB38&lt;&gt;"",IF(ISNA(VLOOKUP($N38,OFFSET(選手情報!$A$6:$BD$119,BB38,0),56,FALSE)),"",VLOOKUP($N38,OFFSET(選手情報!$A$6:$BD$119,BB38,0),56,FALSE)),"")</f>
        <v/>
      </c>
      <c r="BE38" s="127" t="str">
        <f ca="1">IF(BD38&lt;&gt;"",IF(ISNA(VLOOKUP($N38,OFFSET(選手情報!$A$6:$M$119,BD38,0),13,FALSE)),"","/"&amp;VLOOKUP($N38,OFFSET(選手情報!$A$6:$M$119,BD38,0),13,FALSE)),"")</f>
        <v/>
      </c>
      <c r="BF38" s="127" t="str">
        <f ca="1">IF(BD38&lt;&gt;"",IF(ISNA(VLOOKUP($N38,OFFSET(選手情報!$A$6:$BD$119,BD38,0),56,FALSE)),"",VLOOKUP($N38,OFFSET(選手情報!$A$6:$BD$119,BD38,0),56,FALSE)),"")</f>
        <v/>
      </c>
      <c r="BG38" s="127" t="str">
        <f ca="1">IF(BF38&lt;&gt;"",IF(ISNA(VLOOKUP($N38,OFFSET(選手情報!$A$6:$M$119,BF38,0),13,FALSE)),"","/"&amp;VLOOKUP($N38,OFFSET(選手情報!$A$6:$M$119,BF38,0),13,FALSE)),"")</f>
        <v/>
      </c>
      <c r="BH38" s="127" t="str">
        <f ca="1">IF(BF38&lt;&gt;"",IF(ISNA(VLOOKUP($N38,OFFSET(選手情報!$A$6:$BD$119,BF38,0),56,FALSE)),"",VLOOKUP($N38,OFFSET(選手情報!$A$6:$BD$119,BF38,0),56,FALSE)),"")</f>
        <v/>
      </c>
      <c r="BI38" s="127" t="str">
        <f ca="1">IF(BH38&lt;&gt;"",IF(ISNA(VLOOKUP($N38,OFFSET(選手情報!$A$6:$M$119,BH38,0),13,FALSE)),"","/"&amp;VLOOKUP($N38,OFFSET(選手情報!$A$6:$M$119,BH38,0),13,FALSE)),"")</f>
        <v/>
      </c>
    </row>
    <row r="39" spans="1:62" s="127" customFormat="1" ht="12.6" customHeight="1">
      <c r="A39" s="128" t="str">
        <f>IF(ISNA(VLOOKUP($C$2&amp;N39,選手データ!A:H,3,FALSE)),"",IF(M39&lt;&gt;M38,VLOOKUP($C$2&amp;N39,選手データ!A:H,3,FALSE),""))</f>
        <v/>
      </c>
      <c r="B39" s="129" t="str">
        <f>IF(A39&lt;&gt;"",VLOOKUP($C$2&amp;N39,選手データ!A:H,4,FALSE),"")</f>
        <v/>
      </c>
      <c r="C39" s="129" t="str">
        <f>IF(A39&lt;&gt;"",VLOOKUP($C$2&amp;N39,選手データ!A:H,5,FALSE),"")</f>
        <v/>
      </c>
      <c r="D39" s="129" t="str">
        <f>IF(A39&lt;&gt;"",VLOOKUP($C$2&amp;N39,選手データ!A:H,6,FALSE),"")</f>
        <v/>
      </c>
      <c r="E39" s="129" t="str">
        <f>IF(A39&lt;&gt;"",VLOOKUP($C$2&amp;N39,選手データ!A:H,7,FALSE),"")</f>
        <v/>
      </c>
      <c r="F39" s="130" t="str">
        <f>IF(A39&lt;&gt;"",VLOOKUP($C$2&amp;N39,選手データ!A:H,8,FALSE),"")</f>
        <v/>
      </c>
      <c r="G39" s="130" t="str">
        <f>IF(F39&lt;&gt;"",IF(DATEDIF(F39,設定!$B$12,"Y")&lt;20,"〇",""),"")</f>
        <v/>
      </c>
      <c r="H39" s="131" t="str">
        <f t="shared" ca="1" si="0"/>
        <v/>
      </c>
      <c r="I39" s="132" t="str">
        <f t="shared" ca="1" si="1"/>
        <v/>
      </c>
      <c r="J39" s="131" t="str">
        <f t="shared" ca="1" si="2"/>
        <v/>
      </c>
      <c r="K39" s="130" t="str">
        <f>IF(A39&lt;&gt;"",IF(COUNTIF(リレーチーム情報!$B$5:$B$10,A39&amp;E39)=1,"〇",""),"")</f>
        <v/>
      </c>
      <c r="L39" s="133" t="str">
        <f>IF(A39&lt;&gt;"",IF(COUNTIF(リレーチーム情報!$B$11:$B$16,A39&amp;E39)=1,"〇",""),"")</f>
        <v/>
      </c>
      <c r="M39" s="127">
        <f>IF(学校情報!$A$4&lt;&gt;"",0,IF(S38=0,MAX($M$37:M38)+1,M38))</f>
        <v>0</v>
      </c>
      <c r="N39" s="127" t="str">
        <f>IF(M39&lt;&gt;0,VLOOKUP(M39,選手情報!BF:BG,2,FALSE),"")</f>
        <v/>
      </c>
      <c r="O39" s="127" t="str">
        <f ca="1">IF(M39&lt;&gt;0,VLOOKUP(N39,OFFSET(選手情報!$A$6:$W$119,IF(M39&lt;&gt;M38,0,R38),0),13,FALSE),"")</f>
        <v/>
      </c>
      <c r="P39" s="127" t="str">
        <f ca="1">IF(M39&lt;&gt;0,VLOOKUP(N39,OFFSET(選手情報!$A$6:$W$119,IF(M39&lt;&gt;M38,0,R38),0),16,FALSE),"")</f>
        <v/>
      </c>
      <c r="Q39" s="127" t="str">
        <f ca="1">IF(M39&lt;&gt;0,VLOOKUP(N39,OFFSET(選手情報!$A$6:$W$119,IF(M39&lt;&gt;M38,0,R38),0),21,FALSE),"")</f>
        <v/>
      </c>
      <c r="R39" s="127">
        <f ca="1">IF(M39&lt;&gt;0,VLOOKUP(N39,OFFSET(選手情報!$A$6:$BD$119,IF(M39&lt;&gt;M38,0,R38),0),56,FALSE),0)</f>
        <v>0</v>
      </c>
      <c r="S39" s="127">
        <f ca="1">IF(M39&lt;&gt;0,IF(ISNA(R39),0,COUNTIF(OFFSET(選手情報!$A$6:$A$119,R39,0),N39)),0)</f>
        <v>0</v>
      </c>
      <c r="U39" s="127">
        <f t="shared" si="3"/>
        <v>0</v>
      </c>
      <c r="V39" s="127">
        <f t="shared" ca="1" si="4"/>
        <v>1</v>
      </c>
      <c r="W39" s="127">
        <f t="shared" ca="1" si="5"/>
        <v>0</v>
      </c>
      <c r="X39" s="127" t="str">
        <f t="shared" ca="1" si="6"/>
        <v/>
      </c>
      <c r="Y39" s="127" t="str">
        <f>IF($A39&lt;&gt;"",IF(ISNA(VLOOKUP($N39,選手情報!$A$6:$M$119,13,FALSE)),"","/"&amp;VLOOKUP($N39,選手情報!$A$6:$M$119,13,FALSE)),"")</f>
        <v/>
      </c>
      <c r="Z39" s="127" t="str">
        <f ca="1">IF(Y39&lt;&gt;"",IF(ISNA(VLOOKUP($N39,OFFSET(選手情報!$A$6:$BD$119,0,0),56,FALSE)),"",VLOOKUP($N39,OFFSET(選手情報!$A$6:$BD$119,0,0),56,FALSE)),"")</f>
        <v/>
      </c>
      <c r="AA39" s="127" t="str">
        <f ca="1">IF(Z39&lt;&gt;"",IF(ISNA(VLOOKUP($N39,OFFSET(選手情報!$A$6:$M$119,Z39,0),13,FALSE)),"","/"&amp;VLOOKUP($N39,OFFSET(選手情報!$A$6:$M$119,Z39,0),13,FALSE)),"")</f>
        <v/>
      </c>
      <c r="AB39" s="127" t="str">
        <f ca="1">IF(Z39&lt;&gt;"",IF(ISNA(VLOOKUP($N39,OFFSET(選手情報!$A$6:$BD$119,Z39,0),56,FALSE)),"",VLOOKUP($N39,OFFSET(選手情報!$A$6:$BD$119,Z39,0),56,FALSE)),"")</f>
        <v/>
      </c>
      <c r="AC39" s="127" t="str">
        <f ca="1">IF(AB39&lt;&gt;"",IF(ISNA(VLOOKUP($N39,OFFSET(選手情報!$A$6:$M$119,AB39,0),13,FALSE)),"","/"&amp;VLOOKUP($N39,OFFSET(選手情報!$A$6:$M$119,AB39,0),13,FALSE)),"")</f>
        <v/>
      </c>
      <c r="AD39" s="127" t="str">
        <f ca="1">IF(AB39&lt;&gt;"",IF(ISNA(VLOOKUP($N39,OFFSET(選手情報!$A$6:$BD$119,AB39,0),56,FALSE)),"",VLOOKUP($N39,OFFSET(選手情報!$A$6:$BD$119,AB39,0),56,FALSE)),"")</f>
        <v/>
      </c>
      <c r="AE39" s="127" t="str">
        <f ca="1">IF(AD39&lt;&gt;"",IF(ISNA(VLOOKUP($N39,OFFSET(選手情報!$A$6:$M$119,AD39,0),13,FALSE)),"","/"&amp;VLOOKUP($N39,OFFSET(選手情報!$A$6:$M$119,AD39,0),13,FALSE)),"")</f>
        <v/>
      </c>
      <c r="AF39" s="127" t="str">
        <f ca="1">IF(AD39&lt;&gt;"",IF(ISNA(VLOOKUP($N39,OFFSET(選手情報!$A$6:$BD$119,AD39,0),56,FALSE)),"",VLOOKUP($N39,OFFSET(選手情報!$A$6:$BD$119,AD39,0),56,FALSE)),"")</f>
        <v/>
      </c>
      <c r="AG39" s="127" t="str">
        <f ca="1">IF(AF39&lt;&gt;"",IF(ISNA(VLOOKUP($N39,OFFSET(選手情報!$A$6:$M$119,AF39,0),13,FALSE)),"","/"&amp;VLOOKUP($N39,OFFSET(選手情報!$A$6:$M$119,AF39,0),13,FALSE)),"")</f>
        <v/>
      </c>
      <c r="AH39" s="127" t="str">
        <f ca="1">IF(AF39&lt;&gt;"",IF(ISNA(VLOOKUP($N39,OFFSET(選手情報!$A$6:$BD$119,AF39,0),56,FALSE)),"",VLOOKUP($N39,OFFSET(選手情報!$A$6:$BD$119,AF39,0),56,FALSE)),"")</f>
        <v/>
      </c>
      <c r="AI39" s="127" t="str">
        <f ca="1">IF(AH39&lt;&gt;"",IF(ISNA(VLOOKUP($N39,OFFSET(選手情報!$A$6:$M$119,AH39,0),13,FALSE)),"","/"&amp;VLOOKUP($N39,OFFSET(選手情報!$A$6:$M$119,AH39,0),13,FALSE)),"")</f>
        <v/>
      </c>
      <c r="AJ39" s="127" t="str">
        <f ca="1">IF(AH39&lt;&gt;"",IF(ISNA(VLOOKUP($N39,OFFSET(選手情報!$A$6:$BD$119,AH39,0),56,FALSE)),"",VLOOKUP($N39,OFFSET(選手情報!$A$6:$BD$119,AH39,0),56,FALSE)),"")</f>
        <v/>
      </c>
      <c r="AK39" s="127" t="str">
        <f ca="1">IF(AJ39&lt;&gt;"",IF(ISNA(VLOOKUP($N39,OFFSET(選手情報!$A$6:$M$119,AJ39,0),13,FALSE)),"","/"&amp;VLOOKUP($N39,OFFSET(選手情報!$A$6:$M$119,AJ39,0),13,FALSE)),"")</f>
        <v/>
      </c>
      <c r="AL39" s="127" t="str">
        <f ca="1">IF(AJ39&lt;&gt;"",IF(ISNA(VLOOKUP($N39,OFFSET(選手情報!$A$6:$BD$119,AJ39,0),56,FALSE)),"",VLOOKUP($N39,OFFSET(選手情報!$A$6:$BD$119,AJ39,0),56,FALSE)),"")</f>
        <v/>
      </c>
      <c r="AM39" s="127" t="str">
        <f ca="1">IF(AL39&lt;&gt;"",IF(ISNA(VLOOKUP($N39,OFFSET(選手情報!$A$6:$M$119,AL39,0),13,FALSE)),"","/"&amp;VLOOKUP($N39,OFFSET(選手情報!$A$6:$M$119,AL39,0),13,FALSE)),"")</f>
        <v/>
      </c>
      <c r="AN39" s="127" t="str">
        <f ca="1">IF(AL39&lt;&gt;"",IF(ISNA(VLOOKUP($N39,OFFSET(選手情報!$A$6:$BD$119,AL39,0),56,FALSE)),"",VLOOKUP($N39,OFFSET(選手情報!$A$6:$BD$119,AL39,0),56,FALSE)),"")</f>
        <v/>
      </c>
      <c r="AO39" s="127" t="str">
        <f ca="1">IF(AN39&lt;&gt;"",IF(ISNA(VLOOKUP($N39,OFFSET(選手情報!$A$6:$M$119,AN39,0),13,FALSE)),"","/"&amp;VLOOKUP($N39,OFFSET(選手情報!$A$6:$M$119,AN39,0),13,FALSE)),"")</f>
        <v/>
      </c>
      <c r="AP39" s="127" t="str">
        <f ca="1">IF(AN39&lt;&gt;"",IF(ISNA(VLOOKUP($N39,OFFSET(選手情報!$A$6:$BD$119,AN39,0),56,FALSE)),"",VLOOKUP($N39,OFFSET(選手情報!$A$6:$BD$119,AN39,0),56,FALSE)),"")</f>
        <v/>
      </c>
      <c r="AQ39" s="127" t="str">
        <f ca="1">IF(AP39&lt;&gt;"",IF(ISNA(VLOOKUP($N39,OFFSET(選手情報!$A$6:$M$119,AP39,0),13,FALSE)),"","/"&amp;VLOOKUP($N39,OFFSET(選手情報!$A$6:$M$119,AP39,0),13,FALSE)),"")</f>
        <v/>
      </c>
      <c r="AR39" s="127" t="str">
        <f ca="1">IF(AP39&lt;&gt;"",IF(ISNA(VLOOKUP($N39,OFFSET(選手情報!$A$6:$BD$119,AP39,0),56,FALSE)),"",VLOOKUP($N39,OFFSET(選手情報!$A$6:$BD$119,AP39,0),56,FALSE)),"")</f>
        <v/>
      </c>
      <c r="AS39" s="127" t="str">
        <f ca="1">IF(AR39&lt;&gt;"",IF(ISNA(VLOOKUP($N39,OFFSET(選手情報!$A$6:$M$119,AR39,0),13,FALSE)),"","/"&amp;VLOOKUP($N39,OFFSET(選手情報!$A$6:$M$119,AR39,0),13,FALSE)),"")</f>
        <v/>
      </c>
      <c r="AT39" s="127" t="str">
        <f ca="1">IF(AR39&lt;&gt;"",IF(ISNA(VLOOKUP($N39,OFFSET(選手情報!$A$6:$BD$119,AR39,0),56,FALSE)),"",VLOOKUP($N39,OFFSET(選手情報!$A$6:$BD$119,AR39,0),56,FALSE)),"")</f>
        <v/>
      </c>
      <c r="AU39" s="127" t="str">
        <f ca="1">IF(AT39&lt;&gt;"",IF(ISNA(VLOOKUP($N39,OFFSET(選手情報!$A$6:$M$119,AT39,0),13,FALSE)),"","/"&amp;VLOOKUP($N39,OFFSET(選手情報!$A$6:$M$119,AT39,0),13,FALSE)),"")</f>
        <v/>
      </c>
      <c r="AV39" s="127" t="str">
        <f ca="1">IF(AT39&lt;&gt;"",IF(ISNA(VLOOKUP($N39,OFFSET(選手情報!$A$6:$BD$119,AT39,0),56,FALSE)),"",VLOOKUP($N39,OFFSET(選手情報!$A$6:$BD$119,AT39,0),56,FALSE)),"")</f>
        <v/>
      </c>
      <c r="AW39" s="127" t="str">
        <f ca="1">IF(AV39&lt;&gt;"",IF(ISNA(VLOOKUP($N39,OFFSET(選手情報!$A$6:$M$119,AV39,0),13,FALSE)),"","/"&amp;VLOOKUP($N39,OFFSET(選手情報!$A$6:$M$119,AV39,0),13,FALSE)),"")</f>
        <v/>
      </c>
      <c r="AX39" s="127" t="str">
        <f ca="1">IF(AV39&lt;&gt;"",IF(ISNA(VLOOKUP($N39,OFFSET(選手情報!$A$6:$BD$119,AV39,0),56,FALSE)),"",VLOOKUP($N39,OFFSET(選手情報!$A$6:$BD$119,AV39,0),56,FALSE)),"")</f>
        <v/>
      </c>
      <c r="AY39" s="127" t="str">
        <f ca="1">IF(AX39&lt;&gt;"",IF(ISNA(VLOOKUP($N39,OFFSET(選手情報!$A$6:$M$119,AX39,0),13,FALSE)),"","/"&amp;VLOOKUP($N39,OFFSET(選手情報!$A$6:$M$119,AX39,0),13,FALSE)),"")</f>
        <v/>
      </c>
      <c r="AZ39" s="127" t="str">
        <f ca="1">IF(AX39&lt;&gt;"",IF(ISNA(VLOOKUP($N39,OFFSET(選手情報!$A$6:$BD$119,AX39,0),56,FALSE)),"",VLOOKUP($N39,OFFSET(選手情報!$A$6:$BD$119,AX39,0),56,FALSE)),"")</f>
        <v/>
      </c>
      <c r="BA39" s="127" t="str">
        <f ca="1">IF(AZ39&lt;&gt;"",IF(ISNA(VLOOKUP($N39,OFFSET(選手情報!$A$6:$M$119,AZ39,0),13,FALSE)),"","/"&amp;VLOOKUP($N39,OFFSET(選手情報!$A$6:$M$119,AZ39,0),13,FALSE)),"")</f>
        <v/>
      </c>
      <c r="BB39" s="127" t="str">
        <f ca="1">IF(AZ39&lt;&gt;"",IF(ISNA(VLOOKUP($N39,OFFSET(選手情報!$A$6:$BD$119,AZ39,0),56,FALSE)),"",VLOOKUP($N39,OFFSET(選手情報!$A$6:$BD$119,AZ39,0),56,FALSE)),"")</f>
        <v/>
      </c>
      <c r="BC39" s="127" t="str">
        <f ca="1">IF(BB39&lt;&gt;"",IF(ISNA(VLOOKUP($N39,OFFSET(選手情報!$A$6:$M$119,BB39,0),13,FALSE)),"","/"&amp;VLOOKUP($N39,OFFSET(選手情報!$A$6:$M$119,BB39,0),13,FALSE)),"")</f>
        <v/>
      </c>
      <c r="BD39" s="127" t="str">
        <f ca="1">IF(BB39&lt;&gt;"",IF(ISNA(VLOOKUP($N39,OFFSET(選手情報!$A$6:$BD$119,BB39,0),56,FALSE)),"",VLOOKUP($N39,OFFSET(選手情報!$A$6:$BD$119,BB39,0),56,FALSE)),"")</f>
        <v/>
      </c>
      <c r="BE39" s="127" t="str">
        <f ca="1">IF(BD39&lt;&gt;"",IF(ISNA(VLOOKUP($N39,OFFSET(選手情報!$A$6:$M$119,BD39,0),13,FALSE)),"","/"&amp;VLOOKUP($N39,OFFSET(選手情報!$A$6:$M$119,BD39,0),13,FALSE)),"")</f>
        <v/>
      </c>
      <c r="BF39" s="127" t="str">
        <f ca="1">IF(BD39&lt;&gt;"",IF(ISNA(VLOOKUP($N39,OFFSET(選手情報!$A$6:$BD$119,BD39,0),56,FALSE)),"",VLOOKUP($N39,OFFSET(選手情報!$A$6:$BD$119,BD39,0),56,FALSE)),"")</f>
        <v/>
      </c>
      <c r="BG39" s="127" t="str">
        <f ca="1">IF(BF39&lt;&gt;"",IF(ISNA(VLOOKUP($N39,OFFSET(選手情報!$A$6:$M$119,BF39,0),13,FALSE)),"","/"&amp;VLOOKUP($N39,OFFSET(選手情報!$A$6:$M$119,BF39,0),13,FALSE)),"")</f>
        <v/>
      </c>
      <c r="BH39" s="127" t="str">
        <f ca="1">IF(BF39&lt;&gt;"",IF(ISNA(VLOOKUP($N39,OFFSET(選手情報!$A$6:$BD$119,BF39,0),56,FALSE)),"",VLOOKUP($N39,OFFSET(選手情報!$A$6:$BD$119,BF39,0),56,FALSE)),"")</f>
        <v/>
      </c>
      <c r="BI39" s="127" t="str">
        <f ca="1">IF(BH39&lt;&gt;"",IF(ISNA(VLOOKUP($N39,OFFSET(選手情報!$A$6:$M$119,BH39,0),13,FALSE)),"","/"&amp;VLOOKUP($N39,OFFSET(選手情報!$A$6:$M$119,BH39,0),13,FALSE)),"")</f>
        <v/>
      </c>
    </row>
    <row r="40" spans="1:62" s="127" customFormat="1" ht="12.6" customHeight="1">
      <c r="A40" s="128" t="str">
        <f>IF(ISNA(VLOOKUP($C$2&amp;N40,選手データ!A:H,3,FALSE)),"",IF(M40&lt;&gt;M39,VLOOKUP($C$2&amp;N40,選手データ!A:H,3,FALSE),""))</f>
        <v/>
      </c>
      <c r="B40" s="129" t="str">
        <f>IF(A40&lt;&gt;"",VLOOKUP($C$2&amp;N40,選手データ!A:H,4,FALSE),"")</f>
        <v/>
      </c>
      <c r="C40" s="129" t="str">
        <f>IF(A40&lt;&gt;"",VLOOKUP($C$2&amp;N40,選手データ!A:H,5,FALSE),"")</f>
        <v/>
      </c>
      <c r="D40" s="129" t="str">
        <f>IF(A40&lt;&gt;"",VLOOKUP($C$2&amp;N40,選手データ!A:H,6,FALSE),"")</f>
        <v/>
      </c>
      <c r="E40" s="129" t="str">
        <f>IF(A40&lt;&gt;"",VLOOKUP($C$2&amp;N40,選手データ!A:H,7,FALSE),"")</f>
        <v/>
      </c>
      <c r="F40" s="130" t="str">
        <f>IF(A40&lt;&gt;"",VLOOKUP($C$2&amp;N40,選手データ!A:H,8,FALSE),"")</f>
        <v/>
      </c>
      <c r="G40" s="130" t="str">
        <f>IF(F40&lt;&gt;"",IF(DATEDIF(F40,設定!$B$12,"Y")&lt;20,"〇",""),"")</f>
        <v/>
      </c>
      <c r="H40" s="131" t="str">
        <f t="shared" ca="1" si="0"/>
        <v/>
      </c>
      <c r="I40" s="132" t="str">
        <f t="shared" ca="1" si="1"/>
        <v/>
      </c>
      <c r="J40" s="131" t="str">
        <f t="shared" ca="1" si="2"/>
        <v/>
      </c>
      <c r="K40" s="130" t="str">
        <f>IF(A40&lt;&gt;"",IF(COUNTIF(リレーチーム情報!$B$5:$B$10,A40&amp;E40)=1,"〇",""),"")</f>
        <v/>
      </c>
      <c r="L40" s="133" t="str">
        <f>IF(A40&lt;&gt;"",IF(COUNTIF(リレーチーム情報!$B$11:$B$16,A40&amp;E40)=1,"〇",""),"")</f>
        <v/>
      </c>
      <c r="M40" s="127">
        <f>IF(学校情報!$A$4&lt;&gt;"",0,IF(S39=0,MAX($M$37:M39)+1,M39))</f>
        <v>0</v>
      </c>
      <c r="N40" s="127" t="str">
        <f>IF(M40&lt;&gt;0,VLOOKUP(M40,選手情報!BF:BG,2,FALSE),"")</f>
        <v/>
      </c>
      <c r="O40" s="127" t="str">
        <f ca="1">IF(M40&lt;&gt;0,VLOOKUP(N40,OFFSET(選手情報!$A$6:$W$119,IF(M40&lt;&gt;M39,0,R39),0),13,FALSE),"")</f>
        <v/>
      </c>
      <c r="P40" s="127" t="str">
        <f ca="1">IF(M40&lt;&gt;0,VLOOKUP(N40,OFFSET(選手情報!$A$6:$W$119,IF(M40&lt;&gt;M39,0,R39),0),16,FALSE),"")</f>
        <v/>
      </c>
      <c r="Q40" s="127" t="str">
        <f ca="1">IF(M40&lt;&gt;0,VLOOKUP(N40,OFFSET(選手情報!$A$6:$W$119,IF(M40&lt;&gt;M39,0,R39),0),21,FALSE),"")</f>
        <v/>
      </c>
      <c r="R40" s="127">
        <f ca="1">IF(M40&lt;&gt;0,VLOOKUP(N40,OFFSET(選手情報!$A$6:$BD$119,IF(M40&lt;&gt;M39,0,R39),0),56,FALSE),0)</f>
        <v>0</v>
      </c>
      <c r="S40" s="127">
        <f ca="1">IF(M40&lt;&gt;0,IF(ISNA(R40),0,COUNTIF(OFFSET(選手情報!$A$6:$A$119,R40,0),N40)),0)</f>
        <v>0</v>
      </c>
      <c r="U40" s="127">
        <f t="shared" si="3"/>
        <v>0</v>
      </c>
      <c r="V40" s="127">
        <f t="shared" ca="1" si="4"/>
        <v>1</v>
      </c>
      <c r="W40" s="127">
        <f t="shared" ca="1" si="5"/>
        <v>0</v>
      </c>
      <c r="X40" s="127" t="str">
        <f t="shared" ca="1" si="6"/>
        <v/>
      </c>
      <c r="Y40" s="127" t="str">
        <f>IF($A40&lt;&gt;"",IF(ISNA(VLOOKUP($N40,選手情報!$A$6:$M$119,13,FALSE)),"","/"&amp;VLOOKUP($N40,選手情報!$A$6:$M$119,13,FALSE)),"")</f>
        <v/>
      </c>
      <c r="Z40" s="127" t="str">
        <f ca="1">IF(Y40&lt;&gt;"",IF(ISNA(VLOOKUP($N40,OFFSET(選手情報!$A$6:$BD$119,0,0),56,FALSE)),"",VLOOKUP($N40,OFFSET(選手情報!$A$6:$BD$119,0,0),56,FALSE)),"")</f>
        <v/>
      </c>
      <c r="AA40" s="127" t="str">
        <f ca="1">IF(Z40&lt;&gt;"",IF(ISNA(VLOOKUP($N40,OFFSET(選手情報!$A$6:$M$119,Z40,0),13,FALSE)),"","/"&amp;VLOOKUP($N40,OFFSET(選手情報!$A$6:$M$119,Z40,0),13,FALSE)),"")</f>
        <v/>
      </c>
      <c r="AB40" s="127" t="str">
        <f ca="1">IF(Z40&lt;&gt;"",IF(ISNA(VLOOKUP($N40,OFFSET(選手情報!$A$6:$BD$119,Z40,0),56,FALSE)),"",VLOOKUP($N40,OFFSET(選手情報!$A$6:$BD$119,Z40,0),56,FALSE)),"")</f>
        <v/>
      </c>
      <c r="AC40" s="127" t="str">
        <f ca="1">IF(AB40&lt;&gt;"",IF(ISNA(VLOOKUP($N40,OFFSET(選手情報!$A$6:$M$119,AB40,0),13,FALSE)),"","/"&amp;VLOOKUP($N40,OFFSET(選手情報!$A$6:$M$119,AB40,0),13,FALSE)),"")</f>
        <v/>
      </c>
      <c r="AD40" s="127" t="str">
        <f ca="1">IF(AB40&lt;&gt;"",IF(ISNA(VLOOKUP($N40,OFFSET(選手情報!$A$6:$BD$119,AB40,0),56,FALSE)),"",VLOOKUP($N40,OFFSET(選手情報!$A$6:$BD$119,AB40,0),56,FALSE)),"")</f>
        <v/>
      </c>
      <c r="AE40" s="127" t="str">
        <f ca="1">IF(AD40&lt;&gt;"",IF(ISNA(VLOOKUP($N40,OFFSET(選手情報!$A$6:$M$119,AD40,0),13,FALSE)),"","/"&amp;VLOOKUP($N40,OFFSET(選手情報!$A$6:$M$119,AD40,0),13,FALSE)),"")</f>
        <v/>
      </c>
      <c r="AF40" s="127" t="str">
        <f ca="1">IF(AD40&lt;&gt;"",IF(ISNA(VLOOKUP($N40,OFFSET(選手情報!$A$6:$BD$119,AD40,0),56,FALSE)),"",VLOOKUP($N40,OFFSET(選手情報!$A$6:$BD$119,AD40,0),56,FALSE)),"")</f>
        <v/>
      </c>
      <c r="AG40" s="127" t="str">
        <f ca="1">IF(AF40&lt;&gt;"",IF(ISNA(VLOOKUP($N40,OFFSET(選手情報!$A$6:$M$119,AF40,0),13,FALSE)),"","/"&amp;VLOOKUP($N40,OFFSET(選手情報!$A$6:$M$119,AF40,0),13,FALSE)),"")</f>
        <v/>
      </c>
      <c r="AH40" s="127" t="str">
        <f ca="1">IF(AF40&lt;&gt;"",IF(ISNA(VLOOKUP($N40,OFFSET(選手情報!$A$6:$BD$119,AF40,0),56,FALSE)),"",VLOOKUP($N40,OFFSET(選手情報!$A$6:$BD$119,AF40,0),56,FALSE)),"")</f>
        <v/>
      </c>
      <c r="AI40" s="127" t="str">
        <f ca="1">IF(AH40&lt;&gt;"",IF(ISNA(VLOOKUP($N40,OFFSET(選手情報!$A$6:$M$119,AH40,0),13,FALSE)),"","/"&amp;VLOOKUP($N40,OFFSET(選手情報!$A$6:$M$119,AH40,0),13,FALSE)),"")</f>
        <v/>
      </c>
      <c r="AJ40" s="127" t="str">
        <f ca="1">IF(AH40&lt;&gt;"",IF(ISNA(VLOOKUP($N40,OFFSET(選手情報!$A$6:$BD$119,AH40,0),56,FALSE)),"",VLOOKUP($N40,OFFSET(選手情報!$A$6:$BD$119,AH40,0),56,FALSE)),"")</f>
        <v/>
      </c>
      <c r="AK40" s="127" t="str">
        <f ca="1">IF(AJ40&lt;&gt;"",IF(ISNA(VLOOKUP($N40,OFFSET(選手情報!$A$6:$M$119,AJ40,0),13,FALSE)),"","/"&amp;VLOOKUP($N40,OFFSET(選手情報!$A$6:$M$119,AJ40,0),13,FALSE)),"")</f>
        <v/>
      </c>
      <c r="AL40" s="127" t="str">
        <f ca="1">IF(AJ40&lt;&gt;"",IF(ISNA(VLOOKUP($N40,OFFSET(選手情報!$A$6:$BD$119,AJ40,0),56,FALSE)),"",VLOOKUP($N40,OFFSET(選手情報!$A$6:$BD$119,AJ40,0),56,FALSE)),"")</f>
        <v/>
      </c>
      <c r="AM40" s="127" t="str">
        <f ca="1">IF(AL40&lt;&gt;"",IF(ISNA(VLOOKUP($N40,OFFSET(選手情報!$A$6:$M$119,AL40,0),13,FALSE)),"","/"&amp;VLOOKUP($N40,OFFSET(選手情報!$A$6:$M$119,AL40,0),13,FALSE)),"")</f>
        <v/>
      </c>
      <c r="AN40" s="127" t="str">
        <f ca="1">IF(AL40&lt;&gt;"",IF(ISNA(VLOOKUP($N40,OFFSET(選手情報!$A$6:$BD$119,AL40,0),56,FALSE)),"",VLOOKUP($N40,OFFSET(選手情報!$A$6:$BD$119,AL40,0),56,FALSE)),"")</f>
        <v/>
      </c>
      <c r="AO40" s="127" t="str">
        <f ca="1">IF(AN40&lt;&gt;"",IF(ISNA(VLOOKUP($N40,OFFSET(選手情報!$A$6:$M$119,AN40,0),13,FALSE)),"","/"&amp;VLOOKUP($N40,OFFSET(選手情報!$A$6:$M$119,AN40,0),13,FALSE)),"")</f>
        <v/>
      </c>
      <c r="AP40" s="127" t="str">
        <f ca="1">IF(AN40&lt;&gt;"",IF(ISNA(VLOOKUP($N40,OFFSET(選手情報!$A$6:$BD$119,AN40,0),56,FALSE)),"",VLOOKUP($N40,OFFSET(選手情報!$A$6:$BD$119,AN40,0),56,FALSE)),"")</f>
        <v/>
      </c>
      <c r="AQ40" s="127" t="str">
        <f ca="1">IF(AP40&lt;&gt;"",IF(ISNA(VLOOKUP($N40,OFFSET(選手情報!$A$6:$M$119,AP40,0),13,FALSE)),"","/"&amp;VLOOKUP($N40,OFFSET(選手情報!$A$6:$M$119,AP40,0),13,FALSE)),"")</f>
        <v/>
      </c>
      <c r="AR40" s="127" t="str">
        <f ca="1">IF(AP40&lt;&gt;"",IF(ISNA(VLOOKUP($N40,OFFSET(選手情報!$A$6:$BD$119,AP40,0),56,FALSE)),"",VLOOKUP($N40,OFFSET(選手情報!$A$6:$BD$119,AP40,0),56,FALSE)),"")</f>
        <v/>
      </c>
      <c r="AS40" s="127" t="str">
        <f ca="1">IF(AR40&lt;&gt;"",IF(ISNA(VLOOKUP($N40,OFFSET(選手情報!$A$6:$M$119,AR40,0),13,FALSE)),"","/"&amp;VLOOKUP($N40,OFFSET(選手情報!$A$6:$M$119,AR40,0),13,FALSE)),"")</f>
        <v/>
      </c>
      <c r="AT40" s="127" t="str">
        <f ca="1">IF(AR40&lt;&gt;"",IF(ISNA(VLOOKUP($N40,OFFSET(選手情報!$A$6:$BD$119,AR40,0),56,FALSE)),"",VLOOKUP($N40,OFFSET(選手情報!$A$6:$BD$119,AR40,0),56,FALSE)),"")</f>
        <v/>
      </c>
      <c r="AU40" s="127" t="str">
        <f ca="1">IF(AT40&lt;&gt;"",IF(ISNA(VLOOKUP($N40,OFFSET(選手情報!$A$6:$M$119,AT40,0),13,FALSE)),"","/"&amp;VLOOKUP($N40,OFFSET(選手情報!$A$6:$M$119,AT40,0),13,FALSE)),"")</f>
        <v/>
      </c>
      <c r="AV40" s="127" t="str">
        <f ca="1">IF(AT40&lt;&gt;"",IF(ISNA(VLOOKUP($N40,OFFSET(選手情報!$A$6:$BD$119,AT40,0),56,FALSE)),"",VLOOKUP($N40,OFFSET(選手情報!$A$6:$BD$119,AT40,0),56,FALSE)),"")</f>
        <v/>
      </c>
      <c r="AW40" s="127" t="str">
        <f ca="1">IF(AV40&lt;&gt;"",IF(ISNA(VLOOKUP($N40,OFFSET(選手情報!$A$6:$M$119,AV40,0),13,FALSE)),"","/"&amp;VLOOKUP($N40,OFFSET(選手情報!$A$6:$M$119,AV40,0),13,FALSE)),"")</f>
        <v/>
      </c>
      <c r="AX40" s="127" t="str">
        <f ca="1">IF(AV40&lt;&gt;"",IF(ISNA(VLOOKUP($N40,OFFSET(選手情報!$A$6:$BD$119,AV40,0),56,FALSE)),"",VLOOKUP($N40,OFFSET(選手情報!$A$6:$BD$119,AV40,0),56,FALSE)),"")</f>
        <v/>
      </c>
      <c r="AY40" s="127" t="str">
        <f ca="1">IF(AX40&lt;&gt;"",IF(ISNA(VLOOKUP($N40,OFFSET(選手情報!$A$6:$M$119,AX40,0),13,FALSE)),"","/"&amp;VLOOKUP($N40,OFFSET(選手情報!$A$6:$M$119,AX40,0),13,FALSE)),"")</f>
        <v/>
      </c>
      <c r="AZ40" s="127" t="str">
        <f ca="1">IF(AX40&lt;&gt;"",IF(ISNA(VLOOKUP($N40,OFFSET(選手情報!$A$6:$BD$119,AX40,0),56,FALSE)),"",VLOOKUP($N40,OFFSET(選手情報!$A$6:$BD$119,AX40,0),56,FALSE)),"")</f>
        <v/>
      </c>
      <c r="BA40" s="127" t="str">
        <f ca="1">IF(AZ40&lt;&gt;"",IF(ISNA(VLOOKUP($N40,OFFSET(選手情報!$A$6:$M$119,AZ40,0),13,FALSE)),"","/"&amp;VLOOKUP($N40,OFFSET(選手情報!$A$6:$M$119,AZ40,0),13,FALSE)),"")</f>
        <v/>
      </c>
      <c r="BB40" s="127" t="str">
        <f ca="1">IF(AZ40&lt;&gt;"",IF(ISNA(VLOOKUP($N40,OFFSET(選手情報!$A$6:$BD$119,AZ40,0),56,FALSE)),"",VLOOKUP($N40,OFFSET(選手情報!$A$6:$BD$119,AZ40,0),56,FALSE)),"")</f>
        <v/>
      </c>
      <c r="BC40" s="127" t="str">
        <f ca="1">IF(BB40&lt;&gt;"",IF(ISNA(VLOOKUP($N40,OFFSET(選手情報!$A$6:$M$119,BB40,0),13,FALSE)),"","/"&amp;VLOOKUP($N40,OFFSET(選手情報!$A$6:$M$119,BB40,0),13,FALSE)),"")</f>
        <v/>
      </c>
      <c r="BD40" s="127" t="str">
        <f ca="1">IF(BB40&lt;&gt;"",IF(ISNA(VLOOKUP($N40,OFFSET(選手情報!$A$6:$BD$119,BB40,0),56,FALSE)),"",VLOOKUP($N40,OFFSET(選手情報!$A$6:$BD$119,BB40,0),56,FALSE)),"")</f>
        <v/>
      </c>
      <c r="BE40" s="127" t="str">
        <f ca="1">IF(BD40&lt;&gt;"",IF(ISNA(VLOOKUP($N40,OFFSET(選手情報!$A$6:$M$119,BD40,0),13,FALSE)),"","/"&amp;VLOOKUP($N40,OFFSET(選手情報!$A$6:$M$119,BD40,0),13,FALSE)),"")</f>
        <v/>
      </c>
      <c r="BF40" s="127" t="str">
        <f ca="1">IF(BD40&lt;&gt;"",IF(ISNA(VLOOKUP($N40,OFFSET(選手情報!$A$6:$BD$119,BD40,0),56,FALSE)),"",VLOOKUP($N40,OFFSET(選手情報!$A$6:$BD$119,BD40,0),56,FALSE)),"")</f>
        <v/>
      </c>
      <c r="BG40" s="127" t="str">
        <f ca="1">IF(BF40&lt;&gt;"",IF(ISNA(VLOOKUP($N40,OFFSET(選手情報!$A$6:$M$119,BF40,0),13,FALSE)),"","/"&amp;VLOOKUP($N40,OFFSET(選手情報!$A$6:$M$119,BF40,0),13,FALSE)),"")</f>
        <v/>
      </c>
      <c r="BH40" s="127" t="str">
        <f ca="1">IF(BF40&lt;&gt;"",IF(ISNA(VLOOKUP($N40,OFFSET(選手情報!$A$6:$BD$119,BF40,0),56,FALSE)),"",VLOOKUP($N40,OFFSET(選手情報!$A$6:$BD$119,BF40,0),56,FALSE)),"")</f>
        <v/>
      </c>
      <c r="BI40" s="127" t="str">
        <f ca="1">IF(BH40&lt;&gt;"",IF(ISNA(VLOOKUP($N40,OFFSET(選手情報!$A$6:$M$119,BH40,0),13,FALSE)),"","/"&amp;VLOOKUP($N40,OFFSET(選手情報!$A$6:$M$119,BH40,0),13,FALSE)),"")</f>
        <v/>
      </c>
    </row>
    <row r="41" spans="1:62" s="127" customFormat="1" ht="12.6" customHeight="1">
      <c r="A41" s="128" t="str">
        <f>IF(ISNA(VLOOKUP($C$2&amp;N41,選手データ!A:H,3,FALSE)),"",IF(M41&lt;&gt;M40,VLOOKUP($C$2&amp;N41,選手データ!A:H,3,FALSE),""))</f>
        <v/>
      </c>
      <c r="B41" s="129" t="str">
        <f>IF(A41&lt;&gt;"",VLOOKUP($C$2&amp;N41,選手データ!A:H,4,FALSE),"")</f>
        <v/>
      </c>
      <c r="C41" s="129" t="str">
        <f>IF(A41&lt;&gt;"",VLOOKUP($C$2&amp;N41,選手データ!A:H,5,FALSE),"")</f>
        <v/>
      </c>
      <c r="D41" s="129" t="str">
        <f>IF(A41&lt;&gt;"",VLOOKUP($C$2&amp;N41,選手データ!A:H,6,FALSE),"")</f>
        <v/>
      </c>
      <c r="E41" s="129" t="str">
        <f>IF(A41&lt;&gt;"",VLOOKUP($C$2&amp;N41,選手データ!A:H,7,FALSE),"")</f>
        <v/>
      </c>
      <c r="F41" s="130" t="str">
        <f>IF(A41&lt;&gt;"",VLOOKUP($C$2&amp;N41,選手データ!A:H,8,FALSE),"")</f>
        <v/>
      </c>
      <c r="G41" s="130" t="str">
        <f>IF(F41&lt;&gt;"",IF(DATEDIF(F41,設定!$B$12,"Y")&lt;20,"〇",""),"")</f>
        <v/>
      </c>
      <c r="H41" s="131" t="str">
        <f t="shared" ca="1" si="0"/>
        <v/>
      </c>
      <c r="I41" s="132" t="str">
        <f t="shared" ca="1" si="1"/>
        <v/>
      </c>
      <c r="J41" s="131" t="str">
        <f t="shared" ca="1" si="2"/>
        <v/>
      </c>
      <c r="K41" s="130" t="str">
        <f>IF(A41&lt;&gt;"",IF(COUNTIF(リレーチーム情報!$B$5:$B$10,A41&amp;E41)=1,"〇",""),"")</f>
        <v/>
      </c>
      <c r="L41" s="133" t="str">
        <f>IF(A41&lt;&gt;"",IF(COUNTIF(リレーチーム情報!$B$11:$B$16,A41&amp;E41)=1,"〇",""),"")</f>
        <v/>
      </c>
      <c r="M41" s="127">
        <f>IF(学校情報!$A$4&lt;&gt;"",0,IF(S40=0,MAX($M$37:M40)+1,M40))</f>
        <v>0</v>
      </c>
      <c r="N41" s="127" t="str">
        <f>IF(M41&lt;&gt;0,VLOOKUP(M41,選手情報!BF:BG,2,FALSE),"")</f>
        <v/>
      </c>
      <c r="O41" s="127" t="str">
        <f ca="1">IF(M41&lt;&gt;0,VLOOKUP(N41,OFFSET(選手情報!$A$6:$W$119,IF(M41&lt;&gt;M40,0,R40),0),13,FALSE),"")</f>
        <v/>
      </c>
      <c r="P41" s="127" t="str">
        <f ca="1">IF(M41&lt;&gt;0,VLOOKUP(N41,OFFSET(選手情報!$A$6:$W$119,IF(M41&lt;&gt;M40,0,R40),0),16,FALSE),"")</f>
        <v/>
      </c>
      <c r="Q41" s="127" t="str">
        <f ca="1">IF(M41&lt;&gt;0,VLOOKUP(N41,OFFSET(選手情報!$A$6:$W$119,IF(M41&lt;&gt;M40,0,R40),0),21,FALSE),"")</f>
        <v/>
      </c>
      <c r="R41" s="127">
        <f ca="1">IF(M41&lt;&gt;0,VLOOKUP(N41,OFFSET(選手情報!$A$6:$BD$119,IF(M41&lt;&gt;M40,0,R40),0),56,FALSE),0)</f>
        <v>0</v>
      </c>
      <c r="S41" s="127">
        <f ca="1">IF(M41&lt;&gt;0,IF(ISNA(R41),0,COUNTIF(OFFSET(選手情報!$A$6:$A$119,R41,0),N41)),0)</f>
        <v>0</v>
      </c>
      <c r="U41" s="127">
        <f t="shared" si="3"/>
        <v>0</v>
      </c>
      <c r="V41" s="127">
        <f t="shared" ca="1" si="4"/>
        <v>1</v>
      </c>
      <c r="W41" s="127">
        <f t="shared" ca="1" si="5"/>
        <v>0</v>
      </c>
      <c r="X41" s="127" t="str">
        <f t="shared" ca="1" si="6"/>
        <v/>
      </c>
      <c r="Y41" s="127" t="str">
        <f>IF($A41&lt;&gt;"",IF(ISNA(VLOOKUP($N41,選手情報!$A$6:$M$119,13,FALSE)),"","/"&amp;VLOOKUP($N41,選手情報!$A$6:$M$119,13,FALSE)),"")</f>
        <v/>
      </c>
      <c r="Z41" s="127" t="str">
        <f ca="1">IF(Y41&lt;&gt;"",IF(ISNA(VLOOKUP($N41,OFFSET(選手情報!$A$6:$BD$119,0,0),56,FALSE)),"",VLOOKUP($N41,OFFSET(選手情報!$A$6:$BD$119,0,0),56,FALSE)),"")</f>
        <v/>
      </c>
      <c r="AA41" s="127" t="str">
        <f ca="1">IF(Z41&lt;&gt;"",IF(ISNA(VLOOKUP($N41,OFFSET(選手情報!$A$6:$M$119,Z41,0),13,FALSE)),"","/"&amp;VLOOKUP($N41,OFFSET(選手情報!$A$6:$M$119,Z41,0),13,FALSE)),"")</f>
        <v/>
      </c>
      <c r="AB41" s="127" t="str">
        <f ca="1">IF(Z41&lt;&gt;"",IF(ISNA(VLOOKUP($N41,OFFSET(選手情報!$A$6:$BD$119,Z41,0),56,FALSE)),"",VLOOKUP($N41,OFFSET(選手情報!$A$6:$BD$119,Z41,0),56,FALSE)),"")</f>
        <v/>
      </c>
      <c r="AC41" s="127" t="str">
        <f ca="1">IF(AB41&lt;&gt;"",IF(ISNA(VLOOKUP($N41,OFFSET(選手情報!$A$6:$M$119,AB41,0),13,FALSE)),"","/"&amp;VLOOKUP($N41,OFFSET(選手情報!$A$6:$M$119,AB41,0),13,FALSE)),"")</f>
        <v/>
      </c>
      <c r="AD41" s="127" t="str">
        <f ca="1">IF(AB41&lt;&gt;"",IF(ISNA(VLOOKUP($N41,OFFSET(選手情報!$A$6:$BD$119,AB41,0),56,FALSE)),"",VLOOKUP($N41,OFFSET(選手情報!$A$6:$BD$119,AB41,0),56,FALSE)),"")</f>
        <v/>
      </c>
      <c r="AE41" s="127" t="str">
        <f ca="1">IF(AD41&lt;&gt;"",IF(ISNA(VLOOKUP($N41,OFFSET(選手情報!$A$6:$M$119,AD41,0),13,FALSE)),"","/"&amp;VLOOKUP($N41,OFFSET(選手情報!$A$6:$M$119,AD41,0),13,FALSE)),"")</f>
        <v/>
      </c>
      <c r="AF41" s="127" t="str">
        <f ca="1">IF(AD41&lt;&gt;"",IF(ISNA(VLOOKUP($N41,OFFSET(選手情報!$A$6:$BD$119,AD41,0),56,FALSE)),"",VLOOKUP($N41,OFFSET(選手情報!$A$6:$BD$119,AD41,0),56,FALSE)),"")</f>
        <v/>
      </c>
      <c r="AG41" s="127" t="str">
        <f ca="1">IF(AF41&lt;&gt;"",IF(ISNA(VLOOKUP($N41,OFFSET(選手情報!$A$6:$M$119,AF41,0),13,FALSE)),"","/"&amp;VLOOKUP($N41,OFFSET(選手情報!$A$6:$M$119,AF41,0),13,FALSE)),"")</f>
        <v/>
      </c>
      <c r="AH41" s="127" t="str">
        <f ca="1">IF(AF41&lt;&gt;"",IF(ISNA(VLOOKUP($N41,OFFSET(選手情報!$A$6:$BD$119,AF41,0),56,FALSE)),"",VLOOKUP($N41,OFFSET(選手情報!$A$6:$BD$119,AF41,0),56,FALSE)),"")</f>
        <v/>
      </c>
      <c r="AI41" s="127" t="str">
        <f ca="1">IF(AH41&lt;&gt;"",IF(ISNA(VLOOKUP($N41,OFFSET(選手情報!$A$6:$M$119,AH41,0),13,FALSE)),"","/"&amp;VLOOKUP($N41,OFFSET(選手情報!$A$6:$M$119,AH41,0),13,FALSE)),"")</f>
        <v/>
      </c>
      <c r="AJ41" s="127" t="str">
        <f ca="1">IF(AH41&lt;&gt;"",IF(ISNA(VLOOKUP($N41,OFFSET(選手情報!$A$6:$BD$119,AH41,0),56,FALSE)),"",VLOOKUP($N41,OFFSET(選手情報!$A$6:$BD$119,AH41,0),56,FALSE)),"")</f>
        <v/>
      </c>
      <c r="AK41" s="127" t="str">
        <f ca="1">IF(AJ41&lt;&gt;"",IF(ISNA(VLOOKUP($N41,OFFSET(選手情報!$A$6:$M$119,AJ41,0),13,FALSE)),"","/"&amp;VLOOKUP($N41,OFFSET(選手情報!$A$6:$M$119,AJ41,0),13,FALSE)),"")</f>
        <v/>
      </c>
      <c r="AL41" s="127" t="str">
        <f ca="1">IF(AJ41&lt;&gt;"",IF(ISNA(VLOOKUP($N41,OFFSET(選手情報!$A$6:$BD$119,AJ41,0),56,FALSE)),"",VLOOKUP($N41,OFFSET(選手情報!$A$6:$BD$119,AJ41,0),56,FALSE)),"")</f>
        <v/>
      </c>
      <c r="AM41" s="127" t="str">
        <f ca="1">IF(AL41&lt;&gt;"",IF(ISNA(VLOOKUP($N41,OFFSET(選手情報!$A$6:$M$119,AL41,0),13,FALSE)),"","/"&amp;VLOOKUP($N41,OFFSET(選手情報!$A$6:$M$119,AL41,0),13,FALSE)),"")</f>
        <v/>
      </c>
      <c r="AN41" s="127" t="str">
        <f ca="1">IF(AL41&lt;&gt;"",IF(ISNA(VLOOKUP($N41,OFFSET(選手情報!$A$6:$BD$119,AL41,0),56,FALSE)),"",VLOOKUP($N41,OFFSET(選手情報!$A$6:$BD$119,AL41,0),56,FALSE)),"")</f>
        <v/>
      </c>
      <c r="AO41" s="127" t="str">
        <f ca="1">IF(AN41&lt;&gt;"",IF(ISNA(VLOOKUP($N41,OFFSET(選手情報!$A$6:$M$119,AN41,0),13,FALSE)),"","/"&amp;VLOOKUP($N41,OFFSET(選手情報!$A$6:$M$119,AN41,0),13,FALSE)),"")</f>
        <v/>
      </c>
      <c r="AP41" s="127" t="str">
        <f ca="1">IF(AN41&lt;&gt;"",IF(ISNA(VLOOKUP($N41,OFFSET(選手情報!$A$6:$BD$119,AN41,0),56,FALSE)),"",VLOOKUP($N41,OFFSET(選手情報!$A$6:$BD$119,AN41,0),56,FALSE)),"")</f>
        <v/>
      </c>
      <c r="AQ41" s="127" t="str">
        <f ca="1">IF(AP41&lt;&gt;"",IF(ISNA(VLOOKUP($N41,OFFSET(選手情報!$A$6:$M$119,AP41,0),13,FALSE)),"","/"&amp;VLOOKUP($N41,OFFSET(選手情報!$A$6:$M$119,AP41,0),13,FALSE)),"")</f>
        <v/>
      </c>
      <c r="AR41" s="127" t="str">
        <f ca="1">IF(AP41&lt;&gt;"",IF(ISNA(VLOOKUP($N41,OFFSET(選手情報!$A$6:$BD$119,AP41,0),56,FALSE)),"",VLOOKUP($N41,OFFSET(選手情報!$A$6:$BD$119,AP41,0),56,FALSE)),"")</f>
        <v/>
      </c>
      <c r="AS41" s="127" t="str">
        <f ca="1">IF(AR41&lt;&gt;"",IF(ISNA(VLOOKUP($N41,OFFSET(選手情報!$A$6:$M$119,AR41,0),13,FALSE)),"","/"&amp;VLOOKUP($N41,OFFSET(選手情報!$A$6:$M$119,AR41,0),13,FALSE)),"")</f>
        <v/>
      </c>
      <c r="AT41" s="127" t="str">
        <f ca="1">IF(AR41&lt;&gt;"",IF(ISNA(VLOOKUP($N41,OFFSET(選手情報!$A$6:$BD$119,AR41,0),56,FALSE)),"",VLOOKUP($N41,OFFSET(選手情報!$A$6:$BD$119,AR41,0),56,FALSE)),"")</f>
        <v/>
      </c>
      <c r="AU41" s="127" t="str">
        <f ca="1">IF(AT41&lt;&gt;"",IF(ISNA(VLOOKUP($N41,OFFSET(選手情報!$A$6:$M$119,AT41,0),13,FALSE)),"","/"&amp;VLOOKUP($N41,OFFSET(選手情報!$A$6:$M$119,AT41,0),13,FALSE)),"")</f>
        <v/>
      </c>
      <c r="AV41" s="127" t="str">
        <f ca="1">IF(AT41&lt;&gt;"",IF(ISNA(VLOOKUP($N41,OFFSET(選手情報!$A$6:$BD$119,AT41,0),56,FALSE)),"",VLOOKUP($N41,OFFSET(選手情報!$A$6:$BD$119,AT41,0),56,FALSE)),"")</f>
        <v/>
      </c>
      <c r="AW41" s="127" t="str">
        <f ca="1">IF(AV41&lt;&gt;"",IF(ISNA(VLOOKUP($N41,OFFSET(選手情報!$A$6:$M$119,AV41,0),13,FALSE)),"","/"&amp;VLOOKUP($N41,OFFSET(選手情報!$A$6:$M$119,AV41,0),13,FALSE)),"")</f>
        <v/>
      </c>
      <c r="AX41" s="127" t="str">
        <f ca="1">IF(AV41&lt;&gt;"",IF(ISNA(VLOOKUP($N41,OFFSET(選手情報!$A$6:$BD$119,AV41,0),56,FALSE)),"",VLOOKUP($N41,OFFSET(選手情報!$A$6:$BD$119,AV41,0),56,FALSE)),"")</f>
        <v/>
      </c>
      <c r="AY41" s="127" t="str">
        <f ca="1">IF(AX41&lt;&gt;"",IF(ISNA(VLOOKUP($N41,OFFSET(選手情報!$A$6:$M$119,AX41,0),13,FALSE)),"","/"&amp;VLOOKUP($N41,OFFSET(選手情報!$A$6:$M$119,AX41,0),13,FALSE)),"")</f>
        <v/>
      </c>
      <c r="AZ41" s="127" t="str">
        <f ca="1">IF(AX41&lt;&gt;"",IF(ISNA(VLOOKUP($N41,OFFSET(選手情報!$A$6:$BD$119,AX41,0),56,FALSE)),"",VLOOKUP($N41,OFFSET(選手情報!$A$6:$BD$119,AX41,0),56,FALSE)),"")</f>
        <v/>
      </c>
      <c r="BA41" s="127" t="str">
        <f ca="1">IF(AZ41&lt;&gt;"",IF(ISNA(VLOOKUP($N41,OFFSET(選手情報!$A$6:$M$119,AZ41,0),13,FALSE)),"","/"&amp;VLOOKUP($N41,OFFSET(選手情報!$A$6:$M$119,AZ41,0),13,FALSE)),"")</f>
        <v/>
      </c>
      <c r="BB41" s="127" t="str">
        <f ca="1">IF(AZ41&lt;&gt;"",IF(ISNA(VLOOKUP($N41,OFFSET(選手情報!$A$6:$BD$119,AZ41,0),56,FALSE)),"",VLOOKUP($N41,OFFSET(選手情報!$A$6:$BD$119,AZ41,0),56,FALSE)),"")</f>
        <v/>
      </c>
      <c r="BC41" s="127" t="str">
        <f ca="1">IF(BB41&lt;&gt;"",IF(ISNA(VLOOKUP($N41,OFFSET(選手情報!$A$6:$M$119,BB41,0),13,FALSE)),"","/"&amp;VLOOKUP($N41,OFFSET(選手情報!$A$6:$M$119,BB41,0),13,FALSE)),"")</f>
        <v/>
      </c>
      <c r="BD41" s="127" t="str">
        <f ca="1">IF(BB41&lt;&gt;"",IF(ISNA(VLOOKUP($N41,OFFSET(選手情報!$A$6:$BD$119,BB41,0),56,FALSE)),"",VLOOKUP($N41,OFFSET(選手情報!$A$6:$BD$119,BB41,0),56,FALSE)),"")</f>
        <v/>
      </c>
      <c r="BE41" s="127" t="str">
        <f ca="1">IF(BD41&lt;&gt;"",IF(ISNA(VLOOKUP($N41,OFFSET(選手情報!$A$6:$M$119,BD41,0),13,FALSE)),"","/"&amp;VLOOKUP($N41,OFFSET(選手情報!$A$6:$M$119,BD41,0),13,FALSE)),"")</f>
        <v/>
      </c>
      <c r="BF41" s="127" t="str">
        <f ca="1">IF(BD41&lt;&gt;"",IF(ISNA(VLOOKUP($N41,OFFSET(選手情報!$A$6:$BD$119,BD41,0),56,FALSE)),"",VLOOKUP($N41,OFFSET(選手情報!$A$6:$BD$119,BD41,0),56,FALSE)),"")</f>
        <v/>
      </c>
      <c r="BG41" s="127" t="str">
        <f ca="1">IF(BF41&lt;&gt;"",IF(ISNA(VLOOKUP($N41,OFFSET(選手情報!$A$6:$M$119,BF41,0),13,FALSE)),"","/"&amp;VLOOKUP($N41,OFFSET(選手情報!$A$6:$M$119,BF41,0),13,FALSE)),"")</f>
        <v/>
      </c>
      <c r="BH41" s="127" t="str">
        <f ca="1">IF(BF41&lt;&gt;"",IF(ISNA(VLOOKUP($N41,OFFSET(選手情報!$A$6:$BD$119,BF41,0),56,FALSE)),"",VLOOKUP($N41,OFFSET(選手情報!$A$6:$BD$119,BF41,0),56,FALSE)),"")</f>
        <v/>
      </c>
      <c r="BI41" s="127" t="str">
        <f ca="1">IF(BH41&lt;&gt;"",IF(ISNA(VLOOKUP($N41,OFFSET(選手情報!$A$6:$M$119,BH41,0),13,FALSE)),"","/"&amp;VLOOKUP($N41,OFFSET(選手情報!$A$6:$M$119,BH41,0),13,FALSE)),"")</f>
        <v/>
      </c>
    </row>
    <row r="42" spans="1:62" s="127" customFormat="1" ht="12.6" customHeight="1">
      <c r="A42" s="128" t="str">
        <f>IF(ISNA(VLOOKUP($C$2&amp;N42,選手データ!A:H,3,FALSE)),"",IF(M42&lt;&gt;M41,VLOOKUP($C$2&amp;N42,選手データ!A:H,3,FALSE),""))</f>
        <v/>
      </c>
      <c r="B42" s="129" t="str">
        <f>IF(A42&lt;&gt;"",VLOOKUP($C$2&amp;N42,選手データ!A:H,4,FALSE),"")</f>
        <v/>
      </c>
      <c r="C42" s="129" t="str">
        <f>IF(A42&lt;&gt;"",VLOOKUP($C$2&amp;N42,選手データ!A:H,5,FALSE),"")</f>
        <v/>
      </c>
      <c r="D42" s="129" t="str">
        <f>IF(A42&lt;&gt;"",VLOOKUP($C$2&amp;N42,選手データ!A:H,6,FALSE),"")</f>
        <v/>
      </c>
      <c r="E42" s="129" t="str">
        <f>IF(A42&lt;&gt;"",VLOOKUP($C$2&amp;N42,選手データ!A:H,7,FALSE),"")</f>
        <v/>
      </c>
      <c r="F42" s="130" t="str">
        <f>IF(A42&lt;&gt;"",VLOOKUP($C$2&amp;N42,選手データ!A:H,8,FALSE),"")</f>
        <v/>
      </c>
      <c r="G42" s="130" t="str">
        <f>IF(F42&lt;&gt;"",IF(DATEDIF(F42,設定!$B$12,"Y")&lt;20,"〇",""),"")</f>
        <v/>
      </c>
      <c r="H42" s="131" t="str">
        <f t="shared" ca="1" si="0"/>
        <v/>
      </c>
      <c r="I42" s="132" t="str">
        <f t="shared" ca="1" si="1"/>
        <v/>
      </c>
      <c r="J42" s="131" t="str">
        <f t="shared" ca="1" si="2"/>
        <v/>
      </c>
      <c r="K42" s="130" t="str">
        <f>IF(A42&lt;&gt;"",IF(COUNTIF(リレーチーム情報!$B$5:$B$10,A42&amp;E42)=1,"〇",""),"")</f>
        <v/>
      </c>
      <c r="L42" s="133" t="str">
        <f>IF(A42&lt;&gt;"",IF(COUNTIF(リレーチーム情報!$B$11:$B$16,A42&amp;E42)=1,"〇",""),"")</f>
        <v/>
      </c>
      <c r="M42" s="127">
        <f>IF(学校情報!$A$4&lt;&gt;"",0,IF(S41=0,MAX($M$37:M41)+1,M41))</f>
        <v>0</v>
      </c>
      <c r="N42" s="127" t="str">
        <f>IF(M42&lt;&gt;0,VLOOKUP(M42,選手情報!BF:BG,2,FALSE),"")</f>
        <v/>
      </c>
      <c r="O42" s="127" t="str">
        <f ca="1">IF(M42&lt;&gt;0,VLOOKUP(N42,OFFSET(選手情報!$A$6:$W$119,IF(M42&lt;&gt;M41,0,R41),0),13,FALSE),"")</f>
        <v/>
      </c>
      <c r="P42" s="127" t="str">
        <f ca="1">IF(M42&lt;&gt;0,VLOOKUP(N42,OFFSET(選手情報!$A$6:$W$119,IF(M42&lt;&gt;M41,0,R41),0),16,FALSE),"")</f>
        <v/>
      </c>
      <c r="Q42" s="127" t="str">
        <f ca="1">IF(M42&lt;&gt;0,VLOOKUP(N42,OFFSET(選手情報!$A$6:$W$119,IF(M42&lt;&gt;M41,0,R41),0),21,FALSE),"")</f>
        <v/>
      </c>
      <c r="R42" s="127">
        <f ca="1">IF(M42&lt;&gt;0,VLOOKUP(N42,OFFSET(選手情報!$A$6:$BD$119,IF(M42&lt;&gt;M41,0,R41),0),56,FALSE),0)</f>
        <v>0</v>
      </c>
      <c r="S42" s="127">
        <f ca="1">IF(M42&lt;&gt;0,IF(ISNA(R42),0,COUNTIF(OFFSET(選手情報!$A$6:$A$119,R42,0),N42)),0)</f>
        <v>0</v>
      </c>
      <c r="U42" s="127">
        <f t="shared" si="3"/>
        <v>0</v>
      </c>
      <c r="V42" s="127">
        <f t="shared" ca="1" si="4"/>
        <v>1</v>
      </c>
      <c r="W42" s="127">
        <f t="shared" ca="1" si="5"/>
        <v>0</v>
      </c>
      <c r="X42" s="127" t="str">
        <f t="shared" ca="1" si="6"/>
        <v/>
      </c>
      <c r="Y42" s="127" t="str">
        <f>IF($A42&lt;&gt;"",IF(ISNA(VLOOKUP($N42,選手情報!$A$6:$M$119,13,FALSE)),"","/"&amp;VLOOKUP($N42,選手情報!$A$6:$M$119,13,FALSE)),"")</f>
        <v/>
      </c>
      <c r="Z42" s="127" t="str">
        <f ca="1">IF(Y42&lt;&gt;"",IF(ISNA(VLOOKUP($N42,OFFSET(選手情報!$A$6:$BD$119,0,0),56,FALSE)),"",VLOOKUP($N42,OFFSET(選手情報!$A$6:$BD$119,0,0),56,FALSE)),"")</f>
        <v/>
      </c>
      <c r="AA42" s="127" t="str">
        <f ca="1">IF(Z42&lt;&gt;"",IF(ISNA(VLOOKUP($N42,OFFSET(選手情報!$A$6:$M$119,Z42,0),13,FALSE)),"","/"&amp;VLOOKUP($N42,OFFSET(選手情報!$A$6:$M$119,Z42,0),13,FALSE)),"")</f>
        <v/>
      </c>
      <c r="AB42" s="127" t="str">
        <f ca="1">IF(Z42&lt;&gt;"",IF(ISNA(VLOOKUP($N42,OFFSET(選手情報!$A$6:$BD$119,Z42,0),56,FALSE)),"",VLOOKUP($N42,OFFSET(選手情報!$A$6:$BD$119,Z42,0),56,FALSE)),"")</f>
        <v/>
      </c>
      <c r="AC42" s="127" t="str">
        <f ca="1">IF(AB42&lt;&gt;"",IF(ISNA(VLOOKUP($N42,OFFSET(選手情報!$A$6:$M$119,AB42,0),13,FALSE)),"","/"&amp;VLOOKUP($N42,OFFSET(選手情報!$A$6:$M$119,AB42,0),13,FALSE)),"")</f>
        <v/>
      </c>
      <c r="AD42" s="127" t="str">
        <f ca="1">IF(AB42&lt;&gt;"",IF(ISNA(VLOOKUP($N42,OFFSET(選手情報!$A$6:$BD$119,AB42,0),56,FALSE)),"",VLOOKUP($N42,OFFSET(選手情報!$A$6:$BD$119,AB42,0),56,FALSE)),"")</f>
        <v/>
      </c>
      <c r="AE42" s="127" t="str">
        <f ca="1">IF(AD42&lt;&gt;"",IF(ISNA(VLOOKUP($N42,OFFSET(選手情報!$A$6:$M$119,AD42,0),13,FALSE)),"","/"&amp;VLOOKUP($N42,OFFSET(選手情報!$A$6:$M$119,AD42,0),13,FALSE)),"")</f>
        <v/>
      </c>
      <c r="AF42" s="127" t="str">
        <f ca="1">IF(AD42&lt;&gt;"",IF(ISNA(VLOOKUP($N42,OFFSET(選手情報!$A$6:$BD$119,AD42,0),56,FALSE)),"",VLOOKUP($N42,OFFSET(選手情報!$A$6:$BD$119,AD42,0),56,FALSE)),"")</f>
        <v/>
      </c>
      <c r="AG42" s="127" t="str">
        <f ca="1">IF(AF42&lt;&gt;"",IF(ISNA(VLOOKUP($N42,OFFSET(選手情報!$A$6:$M$119,AF42,0),13,FALSE)),"","/"&amp;VLOOKUP($N42,OFFSET(選手情報!$A$6:$M$119,AF42,0),13,FALSE)),"")</f>
        <v/>
      </c>
      <c r="AH42" s="127" t="str">
        <f ca="1">IF(AF42&lt;&gt;"",IF(ISNA(VLOOKUP($N42,OFFSET(選手情報!$A$6:$BD$119,AF42,0),56,FALSE)),"",VLOOKUP($N42,OFFSET(選手情報!$A$6:$BD$119,AF42,0),56,FALSE)),"")</f>
        <v/>
      </c>
      <c r="AI42" s="127" t="str">
        <f ca="1">IF(AH42&lt;&gt;"",IF(ISNA(VLOOKUP($N42,OFFSET(選手情報!$A$6:$M$119,AH42,0),13,FALSE)),"","/"&amp;VLOOKUP($N42,OFFSET(選手情報!$A$6:$M$119,AH42,0),13,FALSE)),"")</f>
        <v/>
      </c>
      <c r="AJ42" s="127" t="str">
        <f ca="1">IF(AH42&lt;&gt;"",IF(ISNA(VLOOKUP($N42,OFFSET(選手情報!$A$6:$BD$119,AH42,0),56,FALSE)),"",VLOOKUP($N42,OFFSET(選手情報!$A$6:$BD$119,AH42,0),56,FALSE)),"")</f>
        <v/>
      </c>
      <c r="AK42" s="127" t="str">
        <f ca="1">IF(AJ42&lt;&gt;"",IF(ISNA(VLOOKUP($N42,OFFSET(選手情報!$A$6:$M$119,AJ42,0),13,FALSE)),"","/"&amp;VLOOKUP($N42,OFFSET(選手情報!$A$6:$M$119,AJ42,0),13,FALSE)),"")</f>
        <v/>
      </c>
      <c r="AL42" s="127" t="str">
        <f ca="1">IF(AJ42&lt;&gt;"",IF(ISNA(VLOOKUP($N42,OFFSET(選手情報!$A$6:$BD$119,AJ42,0),56,FALSE)),"",VLOOKUP($N42,OFFSET(選手情報!$A$6:$BD$119,AJ42,0),56,FALSE)),"")</f>
        <v/>
      </c>
      <c r="AM42" s="127" t="str">
        <f ca="1">IF(AL42&lt;&gt;"",IF(ISNA(VLOOKUP($N42,OFFSET(選手情報!$A$6:$M$119,AL42,0),13,FALSE)),"","/"&amp;VLOOKUP($N42,OFFSET(選手情報!$A$6:$M$119,AL42,0),13,FALSE)),"")</f>
        <v/>
      </c>
      <c r="AN42" s="127" t="str">
        <f ca="1">IF(AL42&lt;&gt;"",IF(ISNA(VLOOKUP($N42,OFFSET(選手情報!$A$6:$BD$119,AL42,0),56,FALSE)),"",VLOOKUP($N42,OFFSET(選手情報!$A$6:$BD$119,AL42,0),56,FALSE)),"")</f>
        <v/>
      </c>
      <c r="AO42" s="127" t="str">
        <f ca="1">IF(AN42&lt;&gt;"",IF(ISNA(VLOOKUP($N42,OFFSET(選手情報!$A$6:$M$119,AN42,0),13,FALSE)),"","/"&amp;VLOOKUP($N42,OFFSET(選手情報!$A$6:$M$119,AN42,0),13,FALSE)),"")</f>
        <v/>
      </c>
      <c r="AP42" s="127" t="str">
        <f ca="1">IF(AN42&lt;&gt;"",IF(ISNA(VLOOKUP($N42,OFFSET(選手情報!$A$6:$BD$119,AN42,0),56,FALSE)),"",VLOOKUP($N42,OFFSET(選手情報!$A$6:$BD$119,AN42,0),56,FALSE)),"")</f>
        <v/>
      </c>
      <c r="AQ42" s="127" t="str">
        <f ca="1">IF(AP42&lt;&gt;"",IF(ISNA(VLOOKUP($N42,OFFSET(選手情報!$A$6:$M$119,AP42,0),13,FALSE)),"","/"&amp;VLOOKUP($N42,OFFSET(選手情報!$A$6:$M$119,AP42,0),13,FALSE)),"")</f>
        <v/>
      </c>
      <c r="AR42" s="127" t="str">
        <f ca="1">IF(AP42&lt;&gt;"",IF(ISNA(VLOOKUP($N42,OFFSET(選手情報!$A$6:$BD$119,AP42,0),56,FALSE)),"",VLOOKUP($N42,OFFSET(選手情報!$A$6:$BD$119,AP42,0),56,FALSE)),"")</f>
        <v/>
      </c>
      <c r="AS42" s="127" t="str">
        <f ca="1">IF(AR42&lt;&gt;"",IF(ISNA(VLOOKUP($N42,OFFSET(選手情報!$A$6:$M$119,AR42,0),13,FALSE)),"","/"&amp;VLOOKUP($N42,OFFSET(選手情報!$A$6:$M$119,AR42,0),13,FALSE)),"")</f>
        <v/>
      </c>
      <c r="AT42" s="127" t="str">
        <f ca="1">IF(AR42&lt;&gt;"",IF(ISNA(VLOOKUP($N42,OFFSET(選手情報!$A$6:$BD$119,AR42,0),56,FALSE)),"",VLOOKUP($N42,OFFSET(選手情報!$A$6:$BD$119,AR42,0),56,FALSE)),"")</f>
        <v/>
      </c>
      <c r="AU42" s="127" t="str">
        <f ca="1">IF(AT42&lt;&gt;"",IF(ISNA(VLOOKUP($N42,OFFSET(選手情報!$A$6:$M$119,AT42,0),13,FALSE)),"","/"&amp;VLOOKUP($N42,OFFSET(選手情報!$A$6:$M$119,AT42,0),13,FALSE)),"")</f>
        <v/>
      </c>
      <c r="AV42" s="127" t="str">
        <f ca="1">IF(AT42&lt;&gt;"",IF(ISNA(VLOOKUP($N42,OFFSET(選手情報!$A$6:$BD$119,AT42,0),56,FALSE)),"",VLOOKUP($N42,OFFSET(選手情報!$A$6:$BD$119,AT42,0),56,FALSE)),"")</f>
        <v/>
      </c>
      <c r="AW42" s="127" t="str">
        <f ca="1">IF(AV42&lt;&gt;"",IF(ISNA(VLOOKUP($N42,OFFSET(選手情報!$A$6:$M$119,AV42,0),13,FALSE)),"","/"&amp;VLOOKUP($N42,OFFSET(選手情報!$A$6:$M$119,AV42,0),13,FALSE)),"")</f>
        <v/>
      </c>
      <c r="AX42" s="127" t="str">
        <f ca="1">IF(AV42&lt;&gt;"",IF(ISNA(VLOOKUP($N42,OFFSET(選手情報!$A$6:$BD$119,AV42,0),56,FALSE)),"",VLOOKUP($N42,OFFSET(選手情報!$A$6:$BD$119,AV42,0),56,FALSE)),"")</f>
        <v/>
      </c>
      <c r="AY42" s="127" t="str">
        <f ca="1">IF(AX42&lt;&gt;"",IF(ISNA(VLOOKUP($N42,OFFSET(選手情報!$A$6:$M$119,AX42,0),13,FALSE)),"","/"&amp;VLOOKUP($N42,OFFSET(選手情報!$A$6:$M$119,AX42,0),13,FALSE)),"")</f>
        <v/>
      </c>
      <c r="AZ42" s="127" t="str">
        <f ca="1">IF(AX42&lt;&gt;"",IF(ISNA(VLOOKUP($N42,OFFSET(選手情報!$A$6:$BD$119,AX42,0),56,FALSE)),"",VLOOKUP($N42,OFFSET(選手情報!$A$6:$BD$119,AX42,0),56,FALSE)),"")</f>
        <v/>
      </c>
      <c r="BA42" s="127" t="str">
        <f ca="1">IF(AZ42&lt;&gt;"",IF(ISNA(VLOOKUP($N42,OFFSET(選手情報!$A$6:$M$119,AZ42,0),13,FALSE)),"","/"&amp;VLOOKUP($N42,OFFSET(選手情報!$A$6:$M$119,AZ42,0),13,FALSE)),"")</f>
        <v/>
      </c>
      <c r="BB42" s="127" t="str">
        <f ca="1">IF(AZ42&lt;&gt;"",IF(ISNA(VLOOKUP($N42,OFFSET(選手情報!$A$6:$BD$119,AZ42,0),56,FALSE)),"",VLOOKUP($N42,OFFSET(選手情報!$A$6:$BD$119,AZ42,0),56,FALSE)),"")</f>
        <v/>
      </c>
      <c r="BC42" s="127" t="str">
        <f ca="1">IF(BB42&lt;&gt;"",IF(ISNA(VLOOKUP($N42,OFFSET(選手情報!$A$6:$M$119,BB42,0),13,FALSE)),"","/"&amp;VLOOKUP($N42,OFFSET(選手情報!$A$6:$M$119,BB42,0),13,FALSE)),"")</f>
        <v/>
      </c>
      <c r="BD42" s="127" t="str">
        <f ca="1">IF(BB42&lt;&gt;"",IF(ISNA(VLOOKUP($N42,OFFSET(選手情報!$A$6:$BD$119,BB42,0),56,FALSE)),"",VLOOKUP($N42,OFFSET(選手情報!$A$6:$BD$119,BB42,0),56,FALSE)),"")</f>
        <v/>
      </c>
      <c r="BE42" s="127" t="str">
        <f ca="1">IF(BD42&lt;&gt;"",IF(ISNA(VLOOKUP($N42,OFFSET(選手情報!$A$6:$M$119,BD42,0),13,FALSE)),"","/"&amp;VLOOKUP($N42,OFFSET(選手情報!$A$6:$M$119,BD42,0),13,FALSE)),"")</f>
        <v/>
      </c>
      <c r="BF42" s="127" t="str">
        <f ca="1">IF(BD42&lt;&gt;"",IF(ISNA(VLOOKUP($N42,OFFSET(選手情報!$A$6:$BD$119,BD42,0),56,FALSE)),"",VLOOKUP($N42,OFFSET(選手情報!$A$6:$BD$119,BD42,0),56,FALSE)),"")</f>
        <v/>
      </c>
      <c r="BG42" s="127" t="str">
        <f ca="1">IF(BF42&lt;&gt;"",IF(ISNA(VLOOKUP($N42,OFFSET(選手情報!$A$6:$M$119,BF42,0),13,FALSE)),"","/"&amp;VLOOKUP($N42,OFFSET(選手情報!$A$6:$M$119,BF42,0),13,FALSE)),"")</f>
        <v/>
      </c>
      <c r="BH42" s="127" t="str">
        <f ca="1">IF(BF42&lt;&gt;"",IF(ISNA(VLOOKUP($N42,OFFSET(選手情報!$A$6:$BD$119,BF42,0),56,FALSE)),"",VLOOKUP($N42,OFFSET(選手情報!$A$6:$BD$119,BF42,0),56,FALSE)),"")</f>
        <v/>
      </c>
      <c r="BI42" s="127" t="str">
        <f ca="1">IF(BH42&lt;&gt;"",IF(ISNA(VLOOKUP($N42,OFFSET(選手情報!$A$6:$M$119,BH42,0),13,FALSE)),"","/"&amp;VLOOKUP($N42,OFFSET(選手情報!$A$6:$M$119,BH42,0),13,FALSE)),"")</f>
        <v/>
      </c>
    </row>
    <row r="43" spans="1:62" s="127" customFormat="1" ht="12.6" customHeight="1">
      <c r="A43" s="128" t="str">
        <f>IF(ISNA(VLOOKUP($C$2&amp;N43,選手データ!A:H,3,FALSE)),"",IF(M43&lt;&gt;M42,VLOOKUP($C$2&amp;N43,選手データ!A:H,3,FALSE),""))</f>
        <v/>
      </c>
      <c r="B43" s="129" t="str">
        <f>IF(A43&lt;&gt;"",VLOOKUP($C$2&amp;N43,選手データ!A:H,4,FALSE),"")</f>
        <v/>
      </c>
      <c r="C43" s="129" t="str">
        <f>IF(A43&lt;&gt;"",VLOOKUP($C$2&amp;N43,選手データ!A:H,5,FALSE),"")</f>
        <v/>
      </c>
      <c r="D43" s="129" t="str">
        <f>IF(A43&lt;&gt;"",VLOOKUP($C$2&amp;N43,選手データ!A:H,6,FALSE),"")</f>
        <v/>
      </c>
      <c r="E43" s="129" t="str">
        <f>IF(A43&lt;&gt;"",VLOOKUP($C$2&amp;N43,選手データ!A:H,7,FALSE),"")</f>
        <v/>
      </c>
      <c r="F43" s="130" t="str">
        <f>IF(A43&lt;&gt;"",VLOOKUP($C$2&amp;N43,選手データ!A:H,8,FALSE),"")</f>
        <v/>
      </c>
      <c r="G43" s="130" t="str">
        <f>IF(F43&lt;&gt;"",IF(DATEDIF(F43,設定!$B$12,"Y")&lt;20,"〇",""),"")</f>
        <v/>
      </c>
      <c r="H43" s="131" t="str">
        <f t="shared" ca="1" si="0"/>
        <v/>
      </c>
      <c r="I43" s="132" t="str">
        <f t="shared" ca="1" si="1"/>
        <v/>
      </c>
      <c r="J43" s="131" t="str">
        <f t="shared" ca="1" si="2"/>
        <v/>
      </c>
      <c r="K43" s="130" t="str">
        <f>IF(A43&lt;&gt;"",IF(COUNTIF(リレーチーム情報!$B$5:$B$10,A43&amp;E43)=1,"〇",""),"")</f>
        <v/>
      </c>
      <c r="L43" s="133" t="str">
        <f>IF(A43&lt;&gt;"",IF(COUNTIF(リレーチーム情報!$B$11:$B$16,A43&amp;E43)=1,"〇",""),"")</f>
        <v/>
      </c>
      <c r="M43" s="127">
        <f>IF(学校情報!$A$4&lt;&gt;"",0,IF(S42=0,MAX($M$37:M42)+1,M42))</f>
        <v>0</v>
      </c>
      <c r="N43" s="127" t="str">
        <f>IF(M43&lt;&gt;0,VLOOKUP(M43,選手情報!BF:BG,2,FALSE),"")</f>
        <v/>
      </c>
      <c r="O43" s="127" t="str">
        <f ca="1">IF(M43&lt;&gt;0,VLOOKUP(N43,OFFSET(選手情報!$A$6:$W$119,IF(M43&lt;&gt;M42,0,R42),0),13,FALSE),"")</f>
        <v/>
      </c>
      <c r="P43" s="127" t="str">
        <f ca="1">IF(M43&lt;&gt;0,VLOOKUP(N43,OFFSET(選手情報!$A$6:$W$119,IF(M43&lt;&gt;M42,0,R42),0),16,FALSE),"")</f>
        <v/>
      </c>
      <c r="Q43" s="127" t="str">
        <f ca="1">IF(M43&lt;&gt;0,VLOOKUP(N43,OFFSET(選手情報!$A$6:$W$119,IF(M43&lt;&gt;M42,0,R42),0),21,FALSE),"")</f>
        <v/>
      </c>
      <c r="R43" s="127">
        <f ca="1">IF(M43&lt;&gt;0,VLOOKUP(N43,OFFSET(選手情報!$A$6:$BD$119,IF(M43&lt;&gt;M42,0,R42),0),56,FALSE),0)</f>
        <v>0</v>
      </c>
      <c r="S43" s="127">
        <f ca="1">IF(M43&lt;&gt;0,IF(ISNA(R43),0,COUNTIF(OFFSET(選手情報!$A$6:$A$119,R43,0),N43)),0)</f>
        <v>0</v>
      </c>
      <c r="U43" s="127">
        <f t="shared" si="3"/>
        <v>0</v>
      </c>
      <c r="V43" s="127">
        <f t="shared" ca="1" si="4"/>
        <v>1</v>
      </c>
      <c r="W43" s="127">
        <f t="shared" ca="1" si="5"/>
        <v>0</v>
      </c>
      <c r="X43" s="127" t="str">
        <f t="shared" ca="1" si="6"/>
        <v/>
      </c>
      <c r="Y43" s="127" t="str">
        <f>IF($A43&lt;&gt;"",IF(ISNA(VLOOKUP($N43,選手情報!$A$6:$M$119,13,FALSE)),"","/"&amp;VLOOKUP($N43,選手情報!$A$6:$M$119,13,FALSE)),"")</f>
        <v/>
      </c>
      <c r="Z43" s="127" t="str">
        <f ca="1">IF(Y43&lt;&gt;"",IF(ISNA(VLOOKUP($N43,OFFSET(選手情報!$A$6:$BD$119,0,0),56,FALSE)),"",VLOOKUP($N43,OFFSET(選手情報!$A$6:$BD$119,0,0),56,FALSE)),"")</f>
        <v/>
      </c>
      <c r="AA43" s="127" t="str">
        <f ca="1">IF(Z43&lt;&gt;"",IF(ISNA(VLOOKUP($N43,OFFSET(選手情報!$A$6:$M$119,Z43,0),13,FALSE)),"","/"&amp;VLOOKUP($N43,OFFSET(選手情報!$A$6:$M$119,Z43,0),13,FALSE)),"")</f>
        <v/>
      </c>
      <c r="AB43" s="127" t="str">
        <f ca="1">IF(Z43&lt;&gt;"",IF(ISNA(VLOOKUP($N43,OFFSET(選手情報!$A$6:$BD$119,Z43,0),56,FALSE)),"",VLOOKUP($N43,OFFSET(選手情報!$A$6:$BD$119,Z43,0),56,FALSE)),"")</f>
        <v/>
      </c>
      <c r="AC43" s="127" t="str">
        <f ca="1">IF(AB43&lt;&gt;"",IF(ISNA(VLOOKUP($N43,OFFSET(選手情報!$A$6:$M$119,AB43,0),13,FALSE)),"","/"&amp;VLOOKUP($N43,OFFSET(選手情報!$A$6:$M$119,AB43,0),13,FALSE)),"")</f>
        <v/>
      </c>
      <c r="AD43" s="127" t="str">
        <f ca="1">IF(AB43&lt;&gt;"",IF(ISNA(VLOOKUP($N43,OFFSET(選手情報!$A$6:$BD$119,AB43,0),56,FALSE)),"",VLOOKUP($N43,OFFSET(選手情報!$A$6:$BD$119,AB43,0),56,FALSE)),"")</f>
        <v/>
      </c>
      <c r="AE43" s="127" t="str">
        <f ca="1">IF(AD43&lt;&gt;"",IF(ISNA(VLOOKUP($N43,OFFSET(選手情報!$A$6:$M$119,AD43,0),13,FALSE)),"","/"&amp;VLOOKUP($N43,OFFSET(選手情報!$A$6:$M$119,AD43,0),13,FALSE)),"")</f>
        <v/>
      </c>
      <c r="AF43" s="127" t="str">
        <f ca="1">IF(AD43&lt;&gt;"",IF(ISNA(VLOOKUP($N43,OFFSET(選手情報!$A$6:$BD$119,AD43,0),56,FALSE)),"",VLOOKUP($N43,OFFSET(選手情報!$A$6:$BD$119,AD43,0),56,FALSE)),"")</f>
        <v/>
      </c>
      <c r="AG43" s="127" t="str">
        <f ca="1">IF(AF43&lt;&gt;"",IF(ISNA(VLOOKUP($N43,OFFSET(選手情報!$A$6:$M$119,AF43,0),13,FALSE)),"","/"&amp;VLOOKUP($N43,OFFSET(選手情報!$A$6:$M$119,AF43,0),13,FALSE)),"")</f>
        <v/>
      </c>
      <c r="AH43" s="127" t="str">
        <f ca="1">IF(AF43&lt;&gt;"",IF(ISNA(VLOOKUP($N43,OFFSET(選手情報!$A$6:$BD$119,AF43,0),56,FALSE)),"",VLOOKUP($N43,OFFSET(選手情報!$A$6:$BD$119,AF43,0),56,FALSE)),"")</f>
        <v/>
      </c>
      <c r="AI43" s="127" t="str">
        <f ca="1">IF(AH43&lt;&gt;"",IF(ISNA(VLOOKUP($N43,OFFSET(選手情報!$A$6:$M$119,AH43,0),13,FALSE)),"","/"&amp;VLOOKUP($N43,OFFSET(選手情報!$A$6:$M$119,AH43,0),13,FALSE)),"")</f>
        <v/>
      </c>
      <c r="AJ43" s="127" t="str">
        <f ca="1">IF(AH43&lt;&gt;"",IF(ISNA(VLOOKUP($N43,OFFSET(選手情報!$A$6:$BD$119,AH43,0),56,FALSE)),"",VLOOKUP($N43,OFFSET(選手情報!$A$6:$BD$119,AH43,0),56,FALSE)),"")</f>
        <v/>
      </c>
      <c r="AK43" s="127" t="str">
        <f ca="1">IF(AJ43&lt;&gt;"",IF(ISNA(VLOOKUP($N43,OFFSET(選手情報!$A$6:$M$119,AJ43,0),13,FALSE)),"","/"&amp;VLOOKUP($N43,OFFSET(選手情報!$A$6:$M$119,AJ43,0),13,FALSE)),"")</f>
        <v/>
      </c>
      <c r="AL43" s="127" t="str">
        <f ca="1">IF(AJ43&lt;&gt;"",IF(ISNA(VLOOKUP($N43,OFFSET(選手情報!$A$6:$BD$119,AJ43,0),56,FALSE)),"",VLOOKUP($N43,OFFSET(選手情報!$A$6:$BD$119,AJ43,0),56,FALSE)),"")</f>
        <v/>
      </c>
      <c r="AM43" s="127" t="str">
        <f ca="1">IF(AL43&lt;&gt;"",IF(ISNA(VLOOKUP($N43,OFFSET(選手情報!$A$6:$M$119,AL43,0),13,FALSE)),"","/"&amp;VLOOKUP($N43,OFFSET(選手情報!$A$6:$M$119,AL43,0),13,FALSE)),"")</f>
        <v/>
      </c>
      <c r="AN43" s="127" t="str">
        <f ca="1">IF(AL43&lt;&gt;"",IF(ISNA(VLOOKUP($N43,OFFSET(選手情報!$A$6:$BD$119,AL43,0),56,FALSE)),"",VLOOKUP($N43,OFFSET(選手情報!$A$6:$BD$119,AL43,0),56,FALSE)),"")</f>
        <v/>
      </c>
      <c r="AO43" s="127" t="str">
        <f ca="1">IF(AN43&lt;&gt;"",IF(ISNA(VLOOKUP($N43,OFFSET(選手情報!$A$6:$M$119,AN43,0),13,FALSE)),"","/"&amp;VLOOKUP($N43,OFFSET(選手情報!$A$6:$M$119,AN43,0),13,FALSE)),"")</f>
        <v/>
      </c>
      <c r="AP43" s="127" t="str">
        <f ca="1">IF(AN43&lt;&gt;"",IF(ISNA(VLOOKUP($N43,OFFSET(選手情報!$A$6:$BD$119,AN43,0),56,FALSE)),"",VLOOKUP($N43,OFFSET(選手情報!$A$6:$BD$119,AN43,0),56,FALSE)),"")</f>
        <v/>
      </c>
      <c r="AQ43" s="127" t="str">
        <f ca="1">IF(AP43&lt;&gt;"",IF(ISNA(VLOOKUP($N43,OFFSET(選手情報!$A$6:$M$119,AP43,0),13,FALSE)),"","/"&amp;VLOOKUP($N43,OFFSET(選手情報!$A$6:$M$119,AP43,0),13,FALSE)),"")</f>
        <v/>
      </c>
      <c r="AR43" s="127" t="str">
        <f ca="1">IF(AP43&lt;&gt;"",IF(ISNA(VLOOKUP($N43,OFFSET(選手情報!$A$6:$BD$119,AP43,0),56,FALSE)),"",VLOOKUP($N43,OFFSET(選手情報!$A$6:$BD$119,AP43,0),56,FALSE)),"")</f>
        <v/>
      </c>
      <c r="AS43" s="127" t="str">
        <f ca="1">IF(AR43&lt;&gt;"",IF(ISNA(VLOOKUP($N43,OFFSET(選手情報!$A$6:$M$119,AR43,0),13,FALSE)),"","/"&amp;VLOOKUP($N43,OFFSET(選手情報!$A$6:$M$119,AR43,0),13,FALSE)),"")</f>
        <v/>
      </c>
      <c r="AT43" s="127" t="str">
        <f ca="1">IF(AR43&lt;&gt;"",IF(ISNA(VLOOKUP($N43,OFFSET(選手情報!$A$6:$BD$119,AR43,0),56,FALSE)),"",VLOOKUP($N43,OFFSET(選手情報!$A$6:$BD$119,AR43,0),56,FALSE)),"")</f>
        <v/>
      </c>
      <c r="AU43" s="127" t="str">
        <f ca="1">IF(AT43&lt;&gt;"",IF(ISNA(VLOOKUP($N43,OFFSET(選手情報!$A$6:$M$119,AT43,0),13,FALSE)),"","/"&amp;VLOOKUP($N43,OFFSET(選手情報!$A$6:$M$119,AT43,0),13,FALSE)),"")</f>
        <v/>
      </c>
      <c r="AV43" s="127" t="str">
        <f ca="1">IF(AT43&lt;&gt;"",IF(ISNA(VLOOKUP($N43,OFFSET(選手情報!$A$6:$BD$119,AT43,0),56,FALSE)),"",VLOOKUP($N43,OFFSET(選手情報!$A$6:$BD$119,AT43,0),56,FALSE)),"")</f>
        <v/>
      </c>
      <c r="AW43" s="127" t="str">
        <f ca="1">IF(AV43&lt;&gt;"",IF(ISNA(VLOOKUP($N43,OFFSET(選手情報!$A$6:$M$119,AV43,0),13,FALSE)),"","/"&amp;VLOOKUP($N43,OFFSET(選手情報!$A$6:$M$119,AV43,0),13,FALSE)),"")</f>
        <v/>
      </c>
      <c r="AX43" s="127" t="str">
        <f ca="1">IF(AV43&lt;&gt;"",IF(ISNA(VLOOKUP($N43,OFFSET(選手情報!$A$6:$BD$119,AV43,0),56,FALSE)),"",VLOOKUP($N43,OFFSET(選手情報!$A$6:$BD$119,AV43,0),56,FALSE)),"")</f>
        <v/>
      </c>
      <c r="AY43" s="127" t="str">
        <f ca="1">IF(AX43&lt;&gt;"",IF(ISNA(VLOOKUP($N43,OFFSET(選手情報!$A$6:$M$119,AX43,0),13,FALSE)),"","/"&amp;VLOOKUP($N43,OFFSET(選手情報!$A$6:$M$119,AX43,0),13,FALSE)),"")</f>
        <v/>
      </c>
      <c r="AZ43" s="127" t="str">
        <f ca="1">IF(AX43&lt;&gt;"",IF(ISNA(VLOOKUP($N43,OFFSET(選手情報!$A$6:$BD$119,AX43,0),56,FALSE)),"",VLOOKUP($N43,OFFSET(選手情報!$A$6:$BD$119,AX43,0),56,FALSE)),"")</f>
        <v/>
      </c>
      <c r="BA43" s="127" t="str">
        <f ca="1">IF(AZ43&lt;&gt;"",IF(ISNA(VLOOKUP($N43,OFFSET(選手情報!$A$6:$M$119,AZ43,0),13,FALSE)),"","/"&amp;VLOOKUP($N43,OFFSET(選手情報!$A$6:$M$119,AZ43,0),13,FALSE)),"")</f>
        <v/>
      </c>
      <c r="BB43" s="127" t="str">
        <f ca="1">IF(AZ43&lt;&gt;"",IF(ISNA(VLOOKUP($N43,OFFSET(選手情報!$A$6:$BD$119,AZ43,0),56,FALSE)),"",VLOOKUP($N43,OFFSET(選手情報!$A$6:$BD$119,AZ43,0),56,FALSE)),"")</f>
        <v/>
      </c>
      <c r="BC43" s="127" t="str">
        <f ca="1">IF(BB43&lt;&gt;"",IF(ISNA(VLOOKUP($N43,OFFSET(選手情報!$A$6:$M$119,BB43,0),13,FALSE)),"","/"&amp;VLOOKUP($N43,OFFSET(選手情報!$A$6:$M$119,BB43,0),13,FALSE)),"")</f>
        <v/>
      </c>
      <c r="BD43" s="127" t="str">
        <f ca="1">IF(BB43&lt;&gt;"",IF(ISNA(VLOOKUP($N43,OFFSET(選手情報!$A$6:$BD$119,BB43,0),56,FALSE)),"",VLOOKUP($N43,OFFSET(選手情報!$A$6:$BD$119,BB43,0),56,FALSE)),"")</f>
        <v/>
      </c>
      <c r="BE43" s="127" t="str">
        <f ca="1">IF(BD43&lt;&gt;"",IF(ISNA(VLOOKUP($N43,OFFSET(選手情報!$A$6:$M$119,BD43,0),13,FALSE)),"","/"&amp;VLOOKUP($N43,OFFSET(選手情報!$A$6:$M$119,BD43,0),13,FALSE)),"")</f>
        <v/>
      </c>
      <c r="BF43" s="127" t="str">
        <f ca="1">IF(BD43&lt;&gt;"",IF(ISNA(VLOOKUP($N43,OFFSET(選手情報!$A$6:$BD$119,BD43,0),56,FALSE)),"",VLOOKUP($N43,OFFSET(選手情報!$A$6:$BD$119,BD43,0),56,FALSE)),"")</f>
        <v/>
      </c>
      <c r="BG43" s="127" t="str">
        <f ca="1">IF(BF43&lt;&gt;"",IF(ISNA(VLOOKUP($N43,OFFSET(選手情報!$A$6:$M$119,BF43,0),13,FALSE)),"","/"&amp;VLOOKUP($N43,OFFSET(選手情報!$A$6:$M$119,BF43,0),13,FALSE)),"")</f>
        <v/>
      </c>
      <c r="BH43" s="127" t="str">
        <f ca="1">IF(BF43&lt;&gt;"",IF(ISNA(VLOOKUP($N43,OFFSET(選手情報!$A$6:$BD$119,BF43,0),56,FALSE)),"",VLOOKUP($N43,OFFSET(選手情報!$A$6:$BD$119,BF43,0),56,FALSE)),"")</f>
        <v/>
      </c>
      <c r="BI43" s="127" t="str">
        <f ca="1">IF(BH43&lt;&gt;"",IF(ISNA(VLOOKUP($N43,OFFSET(選手情報!$A$6:$M$119,BH43,0),13,FALSE)),"","/"&amp;VLOOKUP($N43,OFFSET(選手情報!$A$6:$M$119,BH43,0),13,FALSE)),"")</f>
        <v/>
      </c>
    </row>
    <row r="44" spans="1:62" s="127" customFormat="1" ht="12.6" customHeight="1">
      <c r="A44" s="128" t="str">
        <f>IF(ISNA(VLOOKUP($C$2&amp;N44,選手データ!A:H,3,FALSE)),"",IF(M44&lt;&gt;M43,VLOOKUP($C$2&amp;N44,選手データ!A:H,3,FALSE),""))</f>
        <v/>
      </c>
      <c r="B44" s="129" t="str">
        <f>IF(A44&lt;&gt;"",VLOOKUP($C$2&amp;N44,選手データ!A:H,4,FALSE),"")</f>
        <v/>
      </c>
      <c r="C44" s="129" t="str">
        <f>IF(A44&lt;&gt;"",VLOOKUP($C$2&amp;N44,選手データ!A:H,5,FALSE),"")</f>
        <v/>
      </c>
      <c r="D44" s="129" t="str">
        <f>IF(A44&lt;&gt;"",VLOOKUP($C$2&amp;N44,選手データ!A:H,6,FALSE),"")</f>
        <v/>
      </c>
      <c r="E44" s="129" t="str">
        <f>IF(A44&lt;&gt;"",VLOOKUP($C$2&amp;N44,選手データ!A:H,7,FALSE),"")</f>
        <v/>
      </c>
      <c r="F44" s="130" t="str">
        <f>IF(A44&lt;&gt;"",VLOOKUP($C$2&amp;N44,選手データ!A:H,8,FALSE),"")</f>
        <v/>
      </c>
      <c r="G44" s="130" t="str">
        <f>IF(F44&lt;&gt;"",IF(DATEDIF(F44,設定!$B$12,"Y")&lt;20,"〇",""),"")</f>
        <v/>
      </c>
      <c r="H44" s="131" t="str">
        <f t="shared" ca="1" si="0"/>
        <v/>
      </c>
      <c r="I44" s="132" t="str">
        <f t="shared" ca="1" si="1"/>
        <v/>
      </c>
      <c r="J44" s="131" t="str">
        <f t="shared" ca="1" si="2"/>
        <v/>
      </c>
      <c r="K44" s="130" t="str">
        <f>IF(A44&lt;&gt;"",IF(COUNTIF(リレーチーム情報!$B$5:$B$10,A44&amp;E44)=1,"〇",""),"")</f>
        <v/>
      </c>
      <c r="L44" s="133" t="str">
        <f>IF(A44&lt;&gt;"",IF(COUNTIF(リレーチーム情報!$B$11:$B$16,A44&amp;E44)=1,"〇",""),"")</f>
        <v/>
      </c>
      <c r="M44" s="127">
        <f>IF(学校情報!$A$4&lt;&gt;"",0,IF(S43=0,MAX($M$37:M43)+1,M43))</f>
        <v>0</v>
      </c>
      <c r="N44" s="127" t="str">
        <f>IF(M44&lt;&gt;0,VLOOKUP(M44,選手情報!BF:BG,2,FALSE),"")</f>
        <v/>
      </c>
      <c r="O44" s="127" t="str">
        <f ca="1">IF(M44&lt;&gt;0,VLOOKUP(N44,OFFSET(選手情報!$A$6:$W$119,IF(M44&lt;&gt;M43,0,R43),0),13,FALSE),"")</f>
        <v/>
      </c>
      <c r="P44" s="127" t="str">
        <f ca="1">IF(M44&lt;&gt;0,VLOOKUP(N44,OFFSET(選手情報!$A$6:$W$119,IF(M44&lt;&gt;M43,0,R43),0),16,FALSE),"")</f>
        <v/>
      </c>
      <c r="Q44" s="127" t="str">
        <f ca="1">IF(M44&lt;&gt;0,VLOOKUP(N44,OFFSET(選手情報!$A$6:$W$119,IF(M44&lt;&gt;M43,0,R43),0),21,FALSE),"")</f>
        <v/>
      </c>
      <c r="R44" s="127">
        <f ca="1">IF(M44&lt;&gt;0,VLOOKUP(N44,OFFSET(選手情報!$A$6:$BD$119,IF(M44&lt;&gt;M43,0,R43),0),56,FALSE),0)</f>
        <v>0</v>
      </c>
      <c r="S44" s="127">
        <f ca="1">IF(M44&lt;&gt;0,IF(ISNA(R44),0,COUNTIF(OFFSET(選手情報!$A$6:$A$119,R44,0),N44)),0)</f>
        <v>0</v>
      </c>
      <c r="U44" s="127">
        <f t="shared" si="3"/>
        <v>0</v>
      </c>
      <c r="V44" s="127">
        <f t="shared" ca="1" si="4"/>
        <v>1</v>
      </c>
      <c r="W44" s="127">
        <f t="shared" ca="1" si="5"/>
        <v>0</v>
      </c>
      <c r="X44" s="127" t="str">
        <f t="shared" ca="1" si="6"/>
        <v/>
      </c>
      <c r="Y44" s="127" t="str">
        <f>IF($A44&lt;&gt;"",IF(ISNA(VLOOKUP($N44,選手情報!$A$6:$M$119,13,FALSE)),"","/"&amp;VLOOKUP($N44,選手情報!$A$6:$M$119,13,FALSE)),"")</f>
        <v/>
      </c>
      <c r="Z44" s="127" t="str">
        <f ca="1">IF(Y44&lt;&gt;"",IF(ISNA(VLOOKUP($N44,OFFSET(選手情報!$A$6:$BD$119,0,0),56,FALSE)),"",VLOOKUP($N44,OFFSET(選手情報!$A$6:$BD$119,0,0),56,FALSE)),"")</f>
        <v/>
      </c>
      <c r="AA44" s="127" t="str">
        <f ca="1">IF(Z44&lt;&gt;"",IF(ISNA(VLOOKUP($N44,OFFSET(選手情報!$A$6:$M$119,Z44,0),13,FALSE)),"","/"&amp;VLOOKUP($N44,OFFSET(選手情報!$A$6:$M$119,Z44,0),13,FALSE)),"")</f>
        <v/>
      </c>
      <c r="AB44" s="127" t="str">
        <f ca="1">IF(Z44&lt;&gt;"",IF(ISNA(VLOOKUP($N44,OFFSET(選手情報!$A$6:$BD$119,Z44,0),56,FALSE)),"",VLOOKUP($N44,OFFSET(選手情報!$A$6:$BD$119,Z44,0),56,FALSE)),"")</f>
        <v/>
      </c>
      <c r="AC44" s="127" t="str">
        <f ca="1">IF(AB44&lt;&gt;"",IF(ISNA(VLOOKUP($N44,OFFSET(選手情報!$A$6:$M$119,AB44,0),13,FALSE)),"","/"&amp;VLOOKUP($N44,OFFSET(選手情報!$A$6:$M$119,AB44,0),13,FALSE)),"")</f>
        <v/>
      </c>
      <c r="AD44" s="127" t="str">
        <f ca="1">IF(AB44&lt;&gt;"",IF(ISNA(VLOOKUP($N44,OFFSET(選手情報!$A$6:$BD$119,AB44,0),56,FALSE)),"",VLOOKUP($N44,OFFSET(選手情報!$A$6:$BD$119,AB44,0),56,FALSE)),"")</f>
        <v/>
      </c>
      <c r="AE44" s="127" t="str">
        <f ca="1">IF(AD44&lt;&gt;"",IF(ISNA(VLOOKUP($N44,OFFSET(選手情報!$A$6:$M$119,AD44,0),13,FALSE)),"","/"&amp;VLOOKUP($N44,OFFSET(選手情報!$A$6:$M$119,AD44,0),13,FALSE)),"")</f>
        <v/>
      </c>
      <c r="AF44" s="127" t="str">
        <f ca="1">IF(AD44&lt;&gt;"",IF(ISNA(VLOOKUP($N44,OFFSET(選手情報!$A$6:$BD$119,AD44,0),56,FALSE)),"",VLOOKUP($N44,OFFSET(選手情報!$A$6:$BD$119,AD44,0),56,FALSE)),"")</f>
        <v/>
      </c>
      <c r="AG44" s="127" t="str">
        <f ca="1">IF(AF44&lt;&gt;"",IF(ISNA(VLOOKUP($N44,OFFSET(選手情報!$A$6:$M$119,AF44,0),13,FALSE)),"","/"&amp;VLOOKUP($N44,OFFSET(選手情報!$A$6:$M$119,AF44,0),13,FALSE)),"")</f>
        <v/>
      </c>
      <c r="AH44" s="127" t="str">
        <f ca="1">IF(AF44&lt;&gt;"",IF(ISNA(VLOOKUP($N44,OFFSET(選手情報!$A$6:$BD$119,AF44,0),56,FALSE)),"",VLOOKUP($N44,OFFSET(選手情報!$A$6:$BD$119,AF44,0),56,FALSE)),"")</f>
        <v/>
      </c>
      <c r="AI44" s="127" t="str">
        <f ca="1">IF(AH44&lt;&gt;"",IF(ISNA(VLOOKUP($N44,OFFSET(選手情報!$A$6:$M$119,AH44,0),13,FALSE)),"","/"&amp;VLOOKUP($N44,OFFSET(選手情報!$A$6:$M$119,AH44,0),13,FALSE)),"")</f>
        <v/>
      </c>
      <c r="AJ44" s="127" t="str">
        <f ca="1">IF(AH44&lt;&gt;"",IF(ISNA(VLOOKUP($N44,OFFSET(選手情報!$A$6:$BD$119,AH44,0),56,FALSE)),"",VLOOKUP($N44,OFFSET(選手情報!$A$6:$BD$119,AH44,0),56,FALSE)),"")</f>
        <v/>
      </c>
      <c r="AK44" s="127" t="str">
        <f ca="1">IF(AJ44&lt;&gt;"",IF(ISNA(VLOOKUP($N44,OFFSET(選手情報!$A$6:$M$119,AJ44,0),13,FALSE)),"","/"&amp;VLOOKUP($N44,OFFSET(選手情報!$A$6:$M$119,AJ44,0),13,FALSE)),"")</f>
        <v/>
      </c>
      <c r="AL44" s="127" t="str">
        <f ca="1">IF(AJ44&lt;&gt;"",IF(ISNA(VLOOKUP($N44,OFFSET(選手情報!$A$6:$BD$119,AJ44,0),56,FALSE)),"",VLOOKUP($N44,OFFSET(選手情報!$A$6:$BD$119,AJ44,0),56,FALSE)),"")</f>
        <v/>
      </c>
      <c r="AM44" s="127" t="str">
        <f ca="1">IF(AL44&lt;&gt;"",IF(ISNA(VLOOKUP($N44,OFFSET(選手情報!$A$6:$M$119,AL44,0),13,FALSE)),"","/"&amp;VLOOKUP($N44,OFFSET(選手情報!$A$6:$M$119,AL44,0),13,FALSE)),"")</f>
        <v/>
      </c>
      <c r="AN44" s="127" t="str">
        <f ca="1">IF(AL44&lt;&gt;"",IF(ISNA(VLOOKUP($N44,OFFSET(選手情報!$A$6:$BD$119,AL44,0),56,FALSE)),"",VLOOKUP($N44,OFFSET(選手情報!$A$6:$BD$119,AL44,0),56,FALSE)),"")</f>
        <v/>
      </c>
      <c r="AO44" s="127" t="str">
        <f ca="1">IF(AN44&lt;&gt;"",IF(ISNA(VLOOKUP($N44,OFFSET(選手情報!$A$6:$M$119,AN44,0),13,FALSE)),"","/"&amp;VLOOKUP($N44,OFFSET(選手情報!$A$6:$M$119,AN44,0),13,FALSE)),"")</f>
        <v/>
      </c>
      <c r="AP44" s="127" t="str">
        <f ca="1">IF(AN44&lt;&gt;"",IF(ISNA(VLOOKUP($N44,OFFSET(選手情報!$A$6:$BD$119,AN44,0),56,FALSE)),"",VLOOKUP($N44,OFFSET(選手情報!$A$6:$BD$119,AN44,0),56,FALSE)),"")</f>
        <v/>
      </c>
      <c r="AQ44" s="127" t="str">
        <f ca="1">IF(AP44&lt;&gt;"",IF(ISNA(VLOOKUP($N44,OFFSET(選手情報!$A$6:$M$119,AP44,0),13,FALSE)),"","/"&amp;VLOOKUP($N44,OFFSET(選手情報!$A$6:$M$119,AP44,0),13,FALSE)),"")</f>
        <v/>
      </c>
      <c r="AR44" s="127" t="str">
        <f ca="1">IF(AP44&lt;&gt;"",IF(ISNA(VLOOKUP($N44,OFFSET(選手情報!$A$6:$BD$119,AP44,0),56,FALSE)),"",VLOOKUP($N44,OFFSET(選手情報!$A$6:$BD$119,AP44,0),56,FALSE)),"")</f>
        <v/>
      </c>
      <c r="AS44" s="127" t="str">
        <f ca="1">IF(AR44&lt;&gt;"",IF(ISNA(VLOOKUP($N44,OFFSET(選手情報!$A$6:$M$119,AR44,0),13,FALSE)),"","/"&amp;VLOOKUP($N44,OFFSET(選手情報!$A$6:$M$119,AR44,0),13,FALSE)),"")</f>
        <v/>
      </c>
      <c r="AT44" s="127" t="str">
        <f ca="1">IF(AR44&lt;&gt;"",IF(ISNA(VLOOKUP($N44,OFFSET(選手情報!$A$6:$BD$119,AR44,0),56,FALSE)),"",VLOOKUP($N44,OFFSET(選手情報!$A$6:$BD$119,AR44,0),56,FALSE)),"")</f>
        <v/>
      </c>
      <c r="AU44" s="127" t="str">
        <f ca="1">IF(AT44&lt;&gt;"",IF(ISNA(VLOOKUP($N44,OFFSET(選手情報!$A$6:$M$119,AT44,0),13,FALSE)),"","/"&amp;VLOOKUP($N44,OFFSET(選手情報!$A$6:$M$119,AT44,0),13,FALSE)),"")</f>
        <v/>
      </c>
      <c r="AV44" s="127" t="str">
        <f ca="1">IF(AT44&lt;&gt;"",IF(ISNA(VLOOKUP($N44,OFFSET(選手情報!$A$6:$BD$119,AT44,0),56,FALSE)),"",VLOOKUP($N44,OFFSET(選手情報!$A$6:$BD$119,AT44,0),56,FALSE)),"")</f>
        <v/>
      </c>
      <c r="AW44" s="127" t="str">
        <f ca="1">IF(AV44&lt;&gt;"",IF(ISNA(VLOOKUP($N44,OFFSET(選手情報!$A$6:$M$119,AV44,0),13,FALSE)),"","/"&amp;VLOOKUP($N44,OFFSET(選手情報!$A$6:$M$119,AV44,0),13,FALSE)),"")</f>
        <v/>
      </c>
      <c r="AX44" s="127" t="str">
        <f ca="1">IF(AV44&lt;&gt;"",IF(ISNA(VLOOKUP($N44,OFFSET(選手情報!$A$6:$BD$119,AV44,0),56,FALSE)),"",VLOOKUP($N44,OFFSET(選手情報!$A$6:$BD$119,AV44,0),56,FALSE)),"")</f>
        <v/>
      </c>
      <c r="AY44" s="127" t="str">
        <f ca="1">IF(AX44&lt;&gt;"",IF(ISNA(VLOOKUP($N44,OFFSET(選手情報!$A$6:$M$119,AX44,0),13,FALSE)),"","/"&amp;VLOOKUP($N44,OFFSET(選手情報!$A$6:$M$119,AX44,0),13,FALSE)),"")</f>
        <v/>
      </c>
      <c r="AZ44" s="127" t="str">
        <f ca="1">IF(AX44&lt;&gt;"",IF(ISNA(VLOOKUP($N44,OFFSET(選手情報!$A$6:$BD$119,AX44,0),56,FALSE)),"",VLOOKUP($N44,OFFSET(選手情報!$A$6:$BD$119,AX44,0),56,FALSE)),"")</f>
        <v/>
      </c>
      <c r="BA44" s="127" t="str">
        <f ca="1">IF(AZ44&lt;&gt;"",IF(ISNA(VLOOKUP($N44,OFFSET(選手情報!$A$6:$M$119,AZ44,0),13,FALSE)),"","/"&amp;VLOOKUP($N44,OFFSET(選手情報!$A$6:$M$119,AZ44,0),13,FALSE)),"")</f>
        <v/>
      </c>
      <c r="BB44" s="127" t="str">
        <f ca="1">IF(AZ44&lt;&gt;"",IF(ISNA(VLOOKUP($N44,OFFSET(選手情報!$A$6:$BD$119,AZ44,0),56,FALSE)),"",VLOOKUP($N44,OFFSET(選手情報!$A$6:$BD$119,AZ44,0),56,FALSE)),"")</f>
        <v/>
      </c>
      <c r="BC44" s="127" t="str">
        <f ca="1">IF(BB44&lt;&gt;"",IF(ISNA(VLOOKUP($N44,OFFSET(選手情報!$A$6:$M$119,BB44,0),13,FALSE)),"","/"&amp;VLOOKUP($N44,OFFSET(選手情報!$A$6:$M$119,BB44,0),13,FALSE)),"")</f>
        <v/>
      </c>
      <c r="BD44" s="127" t="str">
        <f ca="1">IF(BB44&lt;&gt;"",IF(ISNA(VLOOKUP($N44,OFFSET(選手情報!$A$6:$BD$119,BB44,0),56,FALSE)),"",VLOOKUP($N44,OFFSET(選手情報!$A$6:$BD$119,BB44,0),56,FALSE)),"")</f>
        <v/>
      </c>
      <c r="BE44" s="127" t="str">
        <f ca="1">IF(BD44&lt;&gt;"",IF(ISNA(VLOOKUP($N44,OFFSET(選手情報!$A$6:$M$119,BD44,0),13,FALSE)),"","/"&amp;VLOOKUP($N44,OFFSET(選手情報!$A$6:$M$119,BD44,0),13,FALSE)),"")</f>
        <v/>
      </c>
      <c r="BF44" s="127" t="str">
        <f ca="1">IF(BD44&lt;&gt;"",IF(ISNA(VLOOKUP($N44,OFFSET(選手情報!$A$6:$BD$119,BD44,0),56,FALSE)),"",VLOOKUP($N44,OFFSET(選手情報!$A$6:$BD$119,BD44,0),56,FALSE)),"")</f>
        <v/>
      </c>
      <c r="BG44" s="127" t="str">
        <f ca="1">IF(BF44&lt;&gt;"",IF(ISNA(VLOOKUP($N44,OFFSET(選手情報!$A$6:$M$119,BF44,0),13,FALSE)),"","/"&amp;VLOOKUP($N44,OFFSET(選手情報!$A$6:$M$119,BF44,0),13,FALSE)),"")</f>
        <v/>
      </c>
      <c r="BH44" s="127" t="str">
        <f ca="1">IF(BF44&lt;&gt;"",IF(ISNA(VLOOKUP($N44,OFFSET(選手情報!$A$6:$BD$119,BF44,0),56,FALSE)),"",VLOOKUP($N44,OFFSET(選手情報!$A$6:$BD$119,BF44,0),56,FALSE)),"")</f>
        <v/>
      </c>
      <c r="BI44" s="127" t="str">
        <f ca="1">IF(BH44&lt;&gt;"",IF(ISNA(VLOOKUP($N44,OFFSET(選手情報!$A$6:$M$119,BH44,0),13,FALSE)),"","/"&amp;VLOOKUP($N44,OFFSET(選手情報!$A$6:$M$119,BH44,0),13,FALSE)),"")</f>
        <v/>
      </c>
    </row>
    <row r="45" spans="1:62" s="127" customFormat="1" ht="12.6" customHeight="1">
      <c r="A45" s="128" t="str">
        <f>IF(ISNA(VLOOKUP($C$2&amp;N45,選手データ!A:H,3,FALSE)),"",IF(M45&lt;&gt;M44,VLOOKUP($C$2&amp;N45,選手データ!A:H,3,FALSE),""))</f>
        <v/>
      </c>
      <c r="B45" s="129" t="str">
        <f>IF(A45&lt;&gt;"",VLOOKUP($C$2&amp;N45,選手データ!A:H,4,FALSE),"")</f>
        <v/>
      </c>
      <c r="C45" s="129" t="str">
        <f>IF(A45&lt;&gt;"",VLOOKUP($C$2&amp;N45,選手データ!A:H,5,FALSE),"")</f>
        <v/>
      </c>
      <c r="D45" s="129" t="str">
        <f>IF(A45&lt;&gt;"",VLOOKUP($C$2&amp;N45,選手データ!A:H,6,FALSE),"")</f>
        <v/>
      </c>
      <c r="E45" s="129" t="str">
        <f>IF(A45&lt;&gt;"",VLOOKUP($C$2&amp;N45,選手データ!A:H,7,FALSE),"")</f>
        <v/>
      </c>
      <c r="F45" s="130" t="str">
        <f>IF(A45&lt;&gt;"",VLOOKUP($C$2&amp;N45,選手データ!A:H,8,FALSE),"")</f>
        <v/>
      </c>
      <c r="G45" s="130" t="str">
        <f>IF(F45&lt;&gt;"",IF(DATEDIF(F45,設定!$B$12,"Y")&lt;20,"〇",""),"")</f>
        <v/>
      </c>
      <c r="H45" s="131" t="str">
        <f t="shared" ca="1" si="0"/>
        <v/>
      </c>
      <c r="I45" s="132" t="str">
        <f t="shared" ca="1" si="1"/>
        <v/>
      </c>
      <c r="J45" s="131" t="str">
        <f t="shared" ca="1" si="2"/>
        <v/>
      </c>
      <c r="K45" s="130" t="str">
        <f>IF(A45&lt;&gt;"",IF(COUNTIF(リレーチーム情報!$B$5:$B$10,A45&amp;E45)=1,"〇",""),"")</f>
        <v/>
      </c>
      <c r="L45" s="133" t="str">
        <f>IF(A45&lt;&gt;"",IF(COUNTIF(リレーチーム情報!$B$11:$B$16,A45&amp;E45)=1,"〇",""),"")</f>
        <v/>
      </c>
      <c r="M45" s="127">
        <f>IF(学校情報!$A$4&lt;&gt;"",0,IF(S44=0,MAX($M$37:M44)+1,M44))</f>
        <v>0</v>
      </c>
      <c r="N45" s="127" t="str">
        <f>IF(M45&lt;&gt;0,VLOOKUP(M45,選手情報!BF:BG,2,FALSE),"")</f>
        <v/>
      </c>
      <c r="O45" s="127" t="str">
        <f ca="1">IF(M45&lt;&gt;0,VLOOKUP(N45,OFFSET(選手情報!$A$6:$W$119,IF(M45&lt;&gt;M44,0,R44),0),13,FALSE),"")</f>
        <v/>
      </c>
      <c r="P45" s="127" t="str">
        <f ca="1">IF(M45&lt;&gt;0,VLOOKUP(N45,OFFSET(選手情報!$A$6:$W$119,IF(M45&lt;&gt;M44,0,R44),0),16,FALSE),"")</f>
        <v/>
      </c>
      <c r="Q45" s="127" t="str">
        <f ca="1">IF(M45&lt;&gt;0,VLOOKUP(N45,OFFSET(選手情報!$A$6:$W$119,IF(M45&lt;&gt;M44,0,R44),0),21,FALSE),"")</f>
        <v/>
      </c>
      <c r="R45" s="127">
        <f ca="1">IF(M45&lt;&gt;0,VLOOKUP(N45,OFFSET(選手情報!$A$6:$BD$119,IF(M45&lt;&gt;M44,0,R44),0),56,FALSE),0)</f>
        <v>0</v>
      </c>
      <c r="S45" s="127">
        <f ca="1">IF(M45&lt;&gt;0,IF(ISNA(R45),0,COUNTIF(OFFSET(選手情報!$A$6:$A$119,R45,0),N45)),0)</f>
        <v>0</v>
      </c>
      <c r="U45" s="127">
        <f t="shared" si="3"/>
        <v>0</v>
      </c>
      <c r="V45" s="127">
        <f t="shared" ca="1" si="4"/>
        <v>1</v>
      </c>
      <c r="W45" s="127">
        <f t="shared" ca="1" si="5"/>
        <v>0</v>
      </c>
      <c r="X45" s="127" t="str">
        <f t="shared" ca="1" si="6"/>
        <v/>
      </c>
      <c r="Y45" s="127" t="str">
        <f>IF($A45&lt;&gt;"",IF(ISNA(VLOOKUP($N45,選手情報!$A$6:$M$119,13,FALSE)),"","/"&amp;VLOOKUP($N45,選手情報!$A$6:$M$119,13,FALSE)),"")</f>
        <v/>
      </c>
      <c r="Z45" s="127" t="str">
        <f ca="1">IF(Y45&lt;&gt;"",IF(ISNA(VLOOKUP($N45,OFFSET(選手情報!$A$6:$BD$119,0,0),56,FALSE)),"",VLOOKUP($N45,OFFSET(選手情報!$A$6:$BD$119,0,0),56,FALSE)),"")</f>
        <v/>
      </c>
      <c r="AA45" s="127" t="str">
        <f ca="1">IF(Z45&lt;&gt;"",IF(ISNA(VLOOKUP($N45,OFFSET(選手情報!$A$6:$M$119,Z45,0),13,FALSE)),"","/"&amp;VLOOKUP($N45,OFFSET(選手情報!$A$6:$M$119,Z45,0),13,FALSE)),"")</f>
        <v/>
      </c>
      <c r="AB45" s="127" t="str">
        <f ca="1">IF(Z45&lt;&gt;"",IF(ISNA(VLOOKUP($N45,OFFSET(選手情報!$A$6:$BD$119,Z45,0),56,FALSE)),"",VLOOKUP($N45,OFFSET(選手情報!$A$6:$BD$119,Z45,0),56,FALSE)),"")</f>
        <v/>
      </c>
      <c r="AC45" s="127" t="str">
        <f ca="1">IF(AB45&lt;&gt;"",IF(ISNA(VLOOKUP($N45,OFFSET(選手情報!$A$6:$M$119,AB45,0),13,FALSE)),"","/"&amp;VLOOKUP($N45,OFFSET(選手情報!$A$6:$M$119,AB45,0),13,FALSE)),"")</f>
        <v/>
      </c>
      <c r="AD45" s="127" t="str">
        <f ca="1">IF(AB45&lt;&gt;"",IF(ISNA(VLOOKUP($N45,OFFSET(選手情報!$A$6:$BD$119,AB45,0),56,FALSE)),"",VLOOKUP($N45,OFFSET(選手情報!$A$6:$BD$119,AB45,0),56,FALSE)),"")</f>
        <v/>
      </c>
      <c r="AE45" s="127" t="str">
        <f ca="1">IF(AD45&lt;&gt;"",IF(ISNA(VLOOKUP($N45,OFFSET(選手情報!$A$6:$M$119,AD45,0),13,FALSE)),"","/"&amp;VLOOKUP($N45,OFFSET(選手情報!$A$6:$M$119,AD45,0),13,FALSE)),"")</f>
        <v/>
      </c>
      <c r="AF45" s="127" t="str">
        <f ca="1">IF(AD45&lt;&gt;"",IF(ISNA(VLOOKUP($N45,OFFSET(選手情報!$A$6:$BD$119,AD45,0),56,FALSE)),"",VLOOKUP($N45,OFFSET(選手情報!$A$6:$BD$119,AD45,0),56,FALSE)),"")</f>
        <v/>
      </c>
      <c r="AG45" s="127" t="str">
        <f ca="1">IF(AF45&lt;&gt;"",IF(ISNA(VLOOKUP($N45,OFFSET(選手情報!$A$6:$M$119,AF45,0),13,FALSE)),"","/"&amp;VLOOKUP($N45,OFFSET(選手情報!$A$6:$M$119,AF45,0),13,FALSE)),"")</f>
        <v/>
      </c>
      <c r="AH45" s="127" t="str">
        <f ca="1">IF(AF45&lt;&gt;"",IF(ISNA(VLOOKUP($N45,OFFSET(選手情報!$A$6:$BD$119,AF45,0),56,FALSE)),"",VLOOKUP($N45,OFFSET(選手情報!$A$6:$BD$119,AF45,0),56,FALSE)),"")</f>
        <v/>
      </c>
      <c r="AI45" s="127" t="str">
        <f ca="1">IF(AH45&lt;&gt;"",IF(ISNA(VLOOKUP($N45,OFFSET(選手情報!$A$6:$M$119,AH45,0),13,FALSE)),"","/"&amp;VLOOKUP($N45,OFFSET(選手情報!$A$6:$M$119,AH45,0),13,FALSE)),"")</f>
        <v/>
      </c>
      <c r="AJ45" s="127" t="str">
        <f ca="1">IF(AH45&lt;&gt;"",IF(ISNA(VLOOKUP($N45,OFFSET(選手情報!$A$6:$BD$119,AH45,0),56,FALSE)),"",VLOOKUP($N45,OFFSET(選手情報!$A$6:$BD$119,AH45,0),56,FALSE)),"")</f>
        <v/>
      </c>
      <c r="AK45" s="127" t="str">
        <f ca="1">IF(AJ45&lt;&gt;"",IF(ISNA(VLOOKUP($N45,OFFSET(選手情報!$A$6:$M$119,AJ45,0),13,FALSE)),"","/"&amp;VLOOKUP($N45,OFFSET(選手情報!$A$6:$M$119,AJ45,0),13,FALSE)),"")</f>
        <v/>
      </c>
      <c r="AL45" s="127" t="str">
        <f ca="1">IF(AJ45&lt;&gt;"",IF(ISNA(VLOOKUP($N45,OFFSET(選手情報!$A$6:$BD$119,AJ45,0),56,FALSE)),"",VLOOKUP($N45,OFFSET(選手情報!$A$6:$BD$119,AJ45,0),56,FALSE)),"")</f>
        <v/>
      </c>
      <c r="AM45" s="127" t="str">
        <f ca="1">IF(AL45&lt;&gt;"",IF(ISNA(VLOOKUP($N45,OFFSET(選手情報!$A$6:$M$119,AL45,0),13,FALSE)),"","/"&amp;VLOOKUP($N45,OFFSET(選手情報!$A$6:$M$119,AL45,0),13,FALSE)),"")</f>
        <v/>
      </c>
      <c r="AN45" s="127" t="str">
        <f ca="1">IF(AL45&lt;&gt;"",IF(ISNA(VLOOKUP($N45,OFFSET(選手情報!$A$6:$BD$119,AL45,0),56,FALSE)),"",VLOOKUP($N45,OFFSET(選手情報!$A$6:$BD$119,AL45,0),56,FALSE)),"")</f>
        <v/>
      </c>
      <c r="AO45" s="127" t="str">
        <f ca="1">IF(AN45&lt;&gt;"",IF(ISNA(VLOOKUP($N45,OFFSET(選手情報!$A$6:$M$119,AN45,0),13,FALSE)),"","/"&amp;VLOOKUP($N45,OFFSET(選手情報!$A$6:$M$119,AN45,0),13,FALSE)),"")</f>
        <v/>
      </c>
      <c r="AP45" s="127" t="str">
        <f ca="1">IF(AN45&lt;&gt;"",IF(ISNA(VLOOKUP($N45,OFFSET(選手情報!$A$6:$BD$119,AN45,0),56,FALSE)),"",VLOOKUP($N45,OFFSET(選手情報!$A$6:$BD$119,AN45,0),56,FALSE)),"")</f>
        <v/>
      </c>
      <c r="AQ45" s="127" t="str">
        <f ca="1">IF(AP45&lt;&gt;"",IF(ISNA(VLOOKUP($N45,OFFSET(選手情報!$A$6:$M$119,AP45,0),13,FALSE)),"","/"&amp;VLOOKUP($N45,OFFSET(選手情報!$A$6:$M$119,AP45,0),13,FALSE)),"")</f>
        <v/>
      </c>
      <c r="AR45" s="127" t="str">
        <f ca="1">IF(AP45&lt;&gt;"",IF(ISNA(VLOOKUP($N45,OFFSET(選手情報!$A$6:$BD$119,AP45,0),56,FALSE)),"",VLOOKUP($N45,OFFSET(選手情報!$A$6:$BD$119,AP45,0),56,FALSE)),"")</f>
        <v/>
      </c>
      <c r="AS45" s="127" t="str">
        <f ca="1">IF(AR45&lt;&gt;"",IF(ISNA(VLOOKUP($N45,OFFSET(選手情報!$A$6:$M$119,AR45,0),13,FALSE)),"","/"&amp;VLOOKUP($N45,OFFSET(選手情報!$A$6:$M$119,AR45,0),13,FALSE)),"")</f>
        <v/>
      </c>
      <c r="AT45" s="127" t="str">
        <f ca="1">IF(AR45&lt;&gt;"",IF(ISNA(VLOOKUP($N45,OFFSET(選手情報!$A$6:$BD$119,AR45,0),56,FALSE)),"",VLOOKUP($N45,OFFSET(選手情報!$A$6:$BD$119,AR45,0),56,FALSE)),"")</f>
        <v/>
      </c>
      <c r="AU45" s="127" t="str">
        <f ca="1">IF(AT45&lt;&gt;"",IF(ISNA(VLOOKUP($N45,OFFSET(選手情報!$A$6:$M$119,AT45,0),13,FALSE)),"","/"&amp;VLOOKUP($N45,OFFSET(選手情報!$A$6:$M$119,AT45,0),13,FALSE)),"")</f>
        <v/>
      </c>
      <c r="AV45" s="127" t="str">
        <f ca="1">IF(AT45&lt;&gt;"",IF(ISNA(VLOOKUP($N45,OFFSET(選手情報!$A$6:$BD$119,AT45,0),56,FALSE)),"",VLOOKUP($N45,OFFSET(選手情報!$A$6:$BD$119,AT45,0),56,FALSE)),"")</f>
        <v/>
      </c>
      <c r="AW45" s="127" t="str">
        <f ca="1">IF(AV45&lt;&gt;"",IF(ISNA(VLOOKUP($N45,OFFSET(選手情報!$A$6:$M$119,AV45,0),13,FALSE)),"","/"&amp;VLOOKUP($N45,OFFSET(選手情報!$A$6:$M$119,AV45,0),13,FALSE)),"")</f>
        <v/>
      </c>
      <c r="AX45" s="127" t="str">
        <f ca="1">IF(AV45&lt;&gt;"",IF(ISNA(VLOOKUP($N45,OFFSET(選手情報!$A$6:$BD$119,AV45,0),56,FALSE)),"",VLOOKUP($N45,OFFSET(選手情報!$A$6:$BD$119,AV45,0),56,FALSE)),"")</f>
        <v/>
      </c>
      <c r="AY45" s="127" t="str">
        <f ca="1">IF(AX45&lt;&gt;"",IF(ISNA(VLOOKUP($N45,OFFSET(選手情報!$A$6:$M$119,AX45,0),13,FALSE)),"","/"&amp;VLOOKUP($N45,OFFSET(選手情報!$A$6:$M$119,AX45,0),13,FALSE)),"")</f>
        <v/>
      </c>
      <c r="AZ45" s="127" t="str">
        <f ca="1">IF(AX45&lt;&gt;"",IF(ISNA(VLOOKUP($N45,OFFSET(選手情報!$A$6:$BD$119,AX45,0),56,FALSE)),"",VLOOKUP($N45,OFFSET(選手情報!$A$6:$BD$119,AX45,0),56,FALSE)),"")</f>
        <v/>
      </c>
      <c r="BA45" s="127" t="str">
        <f ca="1">IF(AZ45&lt;&gt;"",IF(ISNA(VLOOKUP($N45,OFFSET(選手情報!$A$6:$M$119,AZ45,0),13,FALSE)),"","/"&amp;VLOOKUP($N45,OFFSET(選手情報!$A$6:$M$119,AZ45,0),13,FALSE)),"")</f>
        <v/>
      </c>
      <c r="BB45" s="127" t="str">
        <f ca="1">IF(AZ45&lt;&gt;"",IF(ISNA(VLOOKUP($N45,OFFSET(選手情報!$A$6:$BD$119,AZ45,0),56,FALSE)),"",VLOOKUP($N45,OFFSET(選手情報!$A$6:$BD$119,AZ45,0),56,FALSE)),"")</f>
        <v/>
      </c>
      <c r="BC45" s="127" t="str">
        <f ca="1">IF(BB45&lt;&gt;"",IF(ISNA(VLOOKUP($N45,OFFSET(選手情報!$A$6:$M$119,BB45,0),13,FALSE)),"","/"&amp;VLOOKUP($N45,OFFSET(選手情報!$A$6:$M$119,BB45,0),13,FALSE)),"")</f>
        <v/>
      </c>
      <c r="BD45" s="127" t="str">
        <f ca="1">IF(BB45&lt;&gt;"",IF(ISNA(VLOOKUP($N45,OFFSET(選手情報!$A$6:$BD$119,BB45,0),56,FALSE)),"",VLOOKUP($N45,OFFSET(選手情報!$A$6:$BD$119,BB45,0),56,FALSE)),"")</f>
        <v/>
      </c>
      <c r="BE45" s="127" t="str">
        <f ca="1">IF(BD45&lt;&gt;"",IF(ISNA(VLOOKUP($N45,OFFSET(選手情報!$A$6:$M$119,BD45,0),13,FALSE)),"","/"&amp;VLOOKUP($N45,OFFSET(選手情報!$A$6:$M$119,BD45,0),13,FALSE)),"")</f>
        <v/>
      </c>
      <c r="BF45" s="127" t="str">
        <f ca="1">IF(BD45&lt;&gt;"",IF(ISNA(VLOOKUP($N45,OFFSET(選手情報!$A$6:$BD$119,BD45,0),56,FALSE)),"",VLOOKUP($N45,OFFSET(選手情報!$A$6:$BD$119,BD45,0),56,FALSE)),"")</f>
        <v/>
      </c>
      <c r="BG45" s="127" t="str">
        <f ca="1">IF(BF45&lt;&gt;"",IF(ISNA(VLOOKUP($N45,OFFSET(選手情報!$A$6:$M$119,BF45,0),13,FALSE)),"","/"&amp;VLOOKUP($N45,OFFSET(選手情報!$A$6:$M$119,BF45,0),13,FALSE)),"")</f>
        <v/>
      </c>
      <c r="BH45" s="127" t="str">
        <f ca="1">IF(BF45&lt;&gt;"",IF(ISNA(VLOOKUP($N45,OFFSET(選手情報!$A$6:$BD$119,BF45,0),56,FALSE)),"",VLOOKUP($N45,OFFSET(選手情報!$A$6:$BD$119,BF45,0),56,FALSE)),"")</f>
        <v/>
      </c>
      <c r="BI45" s="127" t="str">
        <f ca="1">IF(BH45&lt;&gt;"",IF(ISNA(VLOOKUP($N45,OFFSET(選手情報!$A$6:$M$119,BH45,0),13,FALSE)),"","/"&amp;VLOOKUP($N45,OFFSET(選手情報!$A$6:$M$119,BH45,0),13,FALSE)),"")</f>
        <v/>
      </c>
    </row>
    <row r="46" spans="1:62" s="127" customFormat="1" ht="12.6" customHeight="1">
      <c r="A46" s="128" t="str">
        <f>IF(ISNA(VLOOKUP($C$2&amp;N46,選手データ!A:H,3,FALSE)),"",IF(M46&lt;&gt;M45,VLOOKUP($C$2&amp;N46,選手データ!A:H,3,FALSE),""))</f>
        <v/>
      </c>
      <c r="B46" s="129" t="str">
        <f>IF(A46&lt;&gt;"",VLOOKUP($C$2&amp;N46,選手データ!A:H,4,FALSE),"")</f>
        <v/>
      </c>
      <c r="C46" s="129" t="str">
        <f>IF(A46&lt;&gt;"",VLOOKUP($C$2&amp;N46,選手データ!A:H,5,FALSE),"")</f>
        <v/>
      </c>
      <c r="D46" s="129" t="str">
        <f>IF(A46&lt;&gt;"",VLOOKUP($C$2&amp;N46,選手データ!A:H,6,FALSE),"")</f>
        <v/>
      </c>
      <c r="E46" s="129" t="str">
        <f>IF(A46&lt;&gt;"",VLOOKUP($C$2&amp;N46,選手データ!A:H,7,FALSE),"")</f>
        <v/>
      </c>
      <c r="F46" s="130" t="str">
        <f>IF(A46&lt;&gt;"",VLOOKUP($C$2&amp;N46,選手データ!A:H,8,FALSE),"")</f>
        <v/>
      </c>
      <c r="G46" s="130" t="str">
        <f>IF(F46&lt;&gt;"",IF(DATEDIF(F46,設定!$B$12,"Y")&lt;20,"〇",""),"")</f>
        <v/>
      </c>
      <c r="H46" s="131" t="str">
        <f t="shared" ca="1" si="0"/>
        <v/>
      </c>
      <c r="I46" s="132" t="str">
        <f t="shared" ca="1" si="1"/>
        <v/>
      </c>
      <c r="J46" s="131" t="str">
        <f t="shared" ca="1" si="2"/>
        <v/>
      </c>
      <c r="K46" s="130" t="str">
        <f>IF(A46&lt;&gt;"",IF(COUNTIF(リレーチーム情報!$B$5:$B$10,A46&amp;E46)=1,"〇",""),"")</f>
        <v/>
      </c>
      <c r="L46" s="133" t="str">
        <f>IF(A46&lt;&gt;"",IF(COUNTIF(リレーチーム情報!$B$11:$B$16,A46&amp;E46)=1,"〇",""),"")</f>
        <v/>
      </c>
      <c r="M46" s="127">
        <f>IF(学校情報!$A$4&lt;&gt;"",0,IF(S45=0,MAX($M$37:M45)+1,M45))</f>
        <v>0</v>
      </c>
      <c r="N46" s="127" t="str">
        <f>IF(M46&lt;&gt;0,VLOOKUP(M46,選手情報!BF:BG,2,FALSE),"")</f>
        <v/>
      </c>
      <c r="O46" s="127" t="str">
        <f ca="1">IF(M46&lt;&gt;0,VLOOKUP(N46,OFFSET(選手情報!$A$6:$W$119,IF(M46&lt;&gt;M45,0,R45),0),13,FALSE),"")</f>
        <v/>
      </c>
      <c r="P46" s="127" t="str">
        <f ca="1">IF(M46&lt;&gt;0,VLOOKUP(N46,OFFSET(選手情報!$A$6:$W$119,IF(M46&lt;&gt;M45,0,R45),0),16,FALSE),"")</f>
        <v/>
      </c>
      <c r="Q46" s="127" t="str">
        <f ca="1">IF(M46&lt;&gt;0,VLOOKUP(N46,OFFSET(選手情報!$A$6:$W$119,IF(M46&lt;&gt;M45,0,R45),0),21,FALSE),"")</f>
        <v/>
      </c>
      <c r="R46" s="127">
        <f ca="1">IF(M46&lt;&gt;0,VLOOKUP(N46,OFFSET(選手情報!$A$6:$BD$119,IF(M46&lt;&gt;M45,0,R45),0),56,FALSE),0)</f>
        <v>0</v>
      </c>
      <c r="S46" s="127">
        <f ca="1">IF(M46&lt;&gt;0,IF(ISNA(R46),0,COUNTIF(OFFSET(選手情報!$A$6:$A$119,R46,0),N46)),0)</f>
        <v>0</v>
      </c>
      <c r="U46" s="127">
        <f t="shared" si="3"/>
        <v>0</v>
      </c>
      <c r="V46" s="127">
        <f t="shared" ca="1" si="4"/>
        <v>1</v>
      </c>
      <c r="W46" s="127">
        <f t="shared" ca="1" si="5"/>
        <v>0</v>
      </c>
      <c r="X46" s="127" t="str">
        <f t="shared" ca="1" si="6"/>
        <v/>
      </c>
      <c r="Y46" s="127" t="str">
        <f>IF($A46&lt;&gt;"",IF(ISNA(VLOOKUP($N46,選手情報!$A$6:$M$119,13,FALSE)),"","/"&amp;VLOOKUP($N46,選手情報!$A$6:$M$119,13,FALSE)),"")</f>
        <v/>
      </c>
      <c r="Z46" s="127" t="str">
        <f ca="1">IF(Y46&lt;&gt;"",IF(ISNA(VLOOKUP($N46,OFFSET(選手情報!$A$6:$BD$119,0,0),56,FALSE)),"",VLOOKUP($N46,OFFSET(選手情報!$A$6:$BD$119,0,0),56,FALSE)),"")</f>
        <v/>
      </c>
      <c r="AA46" s="127" t="str">
        <f ca="1">IF(Z46&lt;&gt;"",IF(ISNA(VLOOKUP($N46,OFFSET(選手情報!$A$6:$M$119,Z46,0),13,FALSE)),"","/"&amp;VLOOKUP($N46,OFFSET(選手情報!$A$6:$M$119,Z46,0),13,FALSE)),"")</f>
        <v/>
      </c>
      <c r="AB46" s="127" t="str">
        <f ca="1">IF(Z46&lt;&gt;"",IF(ISNA(VLOOKUP($N46,OFFSET(選手情報!$A$6:$BD$119,Z46,0),56,FALSE)),"",VLOOKUP($N46,OFFSET(選手情報!$A$6:$BD$119,Z46,0),56,FALSE)),"")</f>
        <v/>
      </c>
      <c r="AC46" s="127" t="str">
        <f ca="1">IF(AB46&lt;&gt;"",IF(ISNA(VLOOKUP($N46,OFFSET(選手情報!$A$6:$M$119,AB46,0),13,FALSE)),"","/"&amp;VLOOKUP($N46,OFFSET(選手情報!$A$6:$M$119,AB46,0),13,FALSE)),"")</f>
        <v/>
      </c>
      <c r="AD46" s="127" t="str">
        <f ca="1">IF(AB46&lt;&gt;"",IF(ISNA(VLOOKUP($N46,OFFSET(選手情報!$A$6:$BD$119,AB46,0),56,FALSE)),"",VLOOKUP($N46,OFFSET(選手情報!$A$6:$BD$119,AB46,0),56,FALSE)),"")</f>
        <v/>
      </c>
      <c r="AE46" s="127" t="str">
        <f ca="1">IF(AD46&lt;&gt;"",IF(ISNA(VLOOKUP($N46,OFFSET(選手情報!$A$6:$M$119,AD46,0),13,FALSE)),"","/"&amp;VLOOKUP($N46,OFFSET(選手情報!$A$6:$M$119,AD46,0),13,FALSE)),"")</f>
        <v/>
      </c>
      <c r="AF46" s="127" t="str">
        <f ca="1">IF(AD46&lt;&gt;"",IF(ISNA(VLOOKUP($N46,OFFSET(選手情報!$A$6:$BD$119,AD46,0),56,FALSE)),"",VLOOKUP($N46,OFFSET(選手情報!$A$6:$BD$119,AD46,0),56,FALSE)),"")</f>
        <v/>
      </c>
      <c r="AG46" s="127" t="str">
        <f ca="1">IF(AF46&lt;&gt;"",IF(ISNA(VLOOKUP($N46,OFFSET(選手情報!$A$6:$M$119,AF46,0),13,FALSE)),"","/"&amp;VLOOKUP($N46,OFFSET(選手情報!$A$6:$M$119,AF46,0),13,FALSE)),"")</f>
        <v/>
      </c>
      <c r="AH46" s="127" t="str">
        <f ca="1">IF(AF46&lt;&gt;"",IF(ISNA(VLOOKUP($N46,OFFSET(選手情報!$A$6:$BD$119,AF46,0),56,FALSE)),"",VLOOKUP($N46,OFFSET(選手情報!$A$6:$BD$119,AF46,0),56,FALSE)),"")</f>
        <v/>
      </c>
      <c r="AI46" s="127" t="str">
        <f ca="1">IF(AH46&lt;&gt;"",IF(ISNA(VLOOKUP($N46,OFFSET(選手情報!$A$6:$M$119,AH46,0),13,FALSE)),"","/"&amp;VLOOKUP($N46,OFFSET(選手情報!$A$6:$M$119,AH46,0),13,FALSE)),"")</f>
        <v/>
      </c>
      <c r="AJ46" s="127" t="str">
        <f ca="1">IF(AH46&lt;&gt;"",IF(ISNA(VLOOKUP($N46,OFFSET(選手情報!$A$6:$BD$119,AH46,0),56,FALSE)),"",VLOOKUP($N46,OFFSET(選手情報!$A$6:$BD$119,AH46,0),56,FALSE)),"")</f>
        <v/>
      </c>
      <c r="AK46" s="127" t="str">
        <f ca="1">IF(AJ46&lt;&gt;"",IF(ISNA(VLOOKUP($N46,OFFSET(選手情報!$A$6:$M$119,AJ46,0),13,FALSE)),"","/"&amp;VLOOKUP($N46,OFFSET(選手情報!$A$6:$M$119,AJ46,0),13,FALSE)),"")</f>
        <v/>
      </c>
      <c r="AL46" s="127" t="str">
        <f ca="1">IF(AJ46&lt;&gt;"",IF(ISNA(VLOOKUP($N46,OFFSET(選手情報!$A$6:$BD$119,AJ46,0),56,FALSE)),"",VLOOKUP($N46,OFFSET(選手情報!$A$6:$BD$119,AJ46,0),56,FALSE)),"")</f>
        <v/>
      </c>
      <c r="AM46" s="127" t="str">
        <f ca="1">IF(AL46&lt;&gt;"",IF(ISNA(VLOOKUP($N46,OFFSET(選手情報!$A$6:$M$119,AL46,0),13,FALSE)),"","/"&amp;VLOOKUP($N46,OFFSET(選手情報!$A$6:$M$119,AL46,0),13,FALSE)),"")</f>
        <v/>
      </c>
      <c r="AN46" s="127" t="str">
        <f ca="1">IF(AL46&lt;&gt;"",IF(ISNA(VLOOKUP($N46,OFFSET(選手情報!$A$6:$BD$119,AL46,0),56,FALSE)),"",VLOOKUP($N46,OFFSET(選手情報!$A$6:$BD$119,AL46,0),56,FALSE)),"")</f>
        <v/>
      </c>
      <c r="AO46" s="127" t="str">
        <f ca="1">IF(AN46&lt;&gt;"",IF(ISNA(VLOOKUP($N46,OFFSET(選手情報!$A$6:$M$119,AN46,0),13,FALSE)),"","/"&amp;VLOOKUP($N46,OFFSET(選手情報!$A$6:$M$119,AN46,0),13,FALSE)),"")</f>
        <v/>
      </c>
      <c r="AP46" s="127" t="str">
        <f ca="1">IF(AN46&lt;&gt;"",IF(ISNA(VLOOKUP($N46,OFFSET(選手情報!$A$6:$BD$119,AN46,0),56,FALSE)),"",VLOOKUP($N46,OFFSET(選手情報!$A$6:$BD$119,AN46,0),56,FALSE)),"")</f>
        <v/>
      </c>
      <c r="AQ46" s="127" t="str">
        <f ca="1">IF(AP46&lt;&gt;"",IF(ISNA(VLOOKUP($N46,OFFSET(選手情報!$A$6:$M$119,AP46,0),13,FALSE)),"","/"&amp;VLOOKUP($N46,OFFSET(選手情報!$A$6:$M$119,AP46,0),13,FALSE)),"")</f>
        <v/>
      </c>
      <c r="AR46" s="127" t="str">
        <f ca="1">IF(AP46&lt;&gt;"",IF(ISNA(VLOOKUP($N46,OFFSET(選手情報!$A$6:$BD$119,AP46,0),56,FALSE)),"",VLOOKUP($N46,OFFSET(選手情報!$A$6:$BD$119,AP46,0),56,FALSE)),"")</f>
        <v/>
      </c>
      <c r="AS46" s="127" t="str">
        <f ca="1">IF(AR46&lt;&gt;"",IF(ISNA(VLOOKUP($N46,OFFSET(選手情報!$A$6:$M$119,AR46,0),13,FALSE)),"","/"&amp;VLOOKUP($N46,OFFSET(選手情報!$A$6:$M$119,AR46,0),13,FALSE)),"")</f>
        <v/>
      </c>
      <c r="AT46" s="127" t="str">
        <f ca="1">IF(AR46&lt;&gt;"",IF(ISNA(VLOOKUP($N46,OFFSET(選手情報!$A$6:$BD$119,AR46,0),56,FALSE)),"",VLOOKUP($N46,OFFSET(選手情報!$A$6:$BD$119,AR46,0),56,FALSE)),"")</f>
        <v/>
      </c>
      <c r="AU46" s="127" t="str">
        <f ca="1">IF(AT46&lt;&gt;"",IF(ISNA(VLOOKUP($N46,OFFSET(選手情報!$A$6:$M$119,AT46,0),13,FALSE)),"","/"&amp;VLOOKUP($N46,OFFSET(選手情報!$A$6:$M$119,AT46,0),13,FALSE)),"")</f>
        <v/>
      </c>
      <c r="AV46" s="127" t="str">
        <f ca="1">IF(AT46&lt;&gt;"",IF(ISNA(VLOOKUP($N46,OFFSET(選手情報!$A$6:$BD$119,AT46,0),56,FALSE)),"",VLOOKUP($N46,OFFSET(選手情報!$A$6:$BD$119,AT46,0),56,FALSE)),"")</f>
        <v/>
      </c>
      <c r="AW46" s="127" t="str">
        <f ca="1">IF(AV46&lt;&gt;"",IF(ISNA(VLOOKUP($N46,OFFSET(選手情報!$A$6:$M$119,AV46,0),13,FALSE)),"","/"&amp;VLOOKUP($N46,OFFSET(選手情報!$A$6:$M$119,AV46,0),13,FALSE)),"")</f>
        <v/>
      </c>
      <c r="AX46" s="127" t="str">
        <f ca="1">IF(AV46&lt;&gt;"",IF(ISNA(VLOOKUP($N46,OFFSET(選手情報!$A$6:$BD$119,AV46,0),56,FALSE)),"",VLOOKUP($N46,OFFSET(選手情報!$A$6:$BD$119,AV46,0),56,FALSE)),"")</f>
        <v/>
      </c>
      <c r="AY46" s="127" t="str">
        <f ca="1">IF(AX46&lt;&gt;"",IF(ISNA(VLOOKUP($N46,OFFSET(選手情報!$A$6:$M$119,AX46,0),13,FALSE)),"","/"&amp;VLOOKUP($N46,OFFSET(選手情報!$A$6:$M$119,AX46,0),13,FALSE)),"")</f>
        <v/>
      </c>
      <c r="AZ46" s="127" t="str">
        <f ca="1">IF(AX46&lt;&gt;"",IF(ISNA(VLOOKUP($N46,OFFSET(選手情報!$A$6:$BD$119,AX46,0),56,FALSE)),"",VLOOKUP($N46,OFFSET(選手情報!$A$6:$BD$119,AX46,0),56,FALSE)),"")</f>
        <v/>
      </c>
      <c r="BA46" s="127" t="str">
        <f ca="1">IF(AZ46&lt;&gt;"",IF(ISNA(VLOOKUP($N46,OFFSET(選手情報!$A$6:$M$119,AZ46,0),13,FALSE)),"","/"&amp;VLOOKUP($N46,OFFSET(選手情報!$A$6:$M$119,AZ46,0),13,FALSE)),"")</f>
        <v/>
      </c>
      <c r="BB46" s="127" t="str">
        <f ca="1">IF(AZ46&lt;&gt;"",IF(ISNA(VLOOKUP($N46,OFFSET(選手情報!$A$6:$BD$119,AZ46,0),56,FALSE)),"",VLOOKUP($N46,OFFSET(選手情報!$A$6:$BD$119,AZ46,0),56,FALSE)),"")</f>
        <v/>
      </c>
      <c r="BC46" s="127" t="str">
        <f ca="1">IF(BB46&lt;&gt;"",IF(ISNA(VLOOKUP($N46,OFFSET(選手情報!$A$6:$M$119,BB46,0),13,FALSE)),"","/"&amp;VLOOKUP($N46,OFFSET(選手情報!$A$6:$M$119,BB46,0),13,FALSE)),"")</f>
        <v/>
      </c>
      <c r="BD46" s="127" t="str">
        <f ca="1">IF(BB46&lt;&gt;"",IF(ISNA(VLOOKUP($N46,OFFSET(選手情報!$A$6:$BD$119,BB46,0),56,FALSE)),"",VLOOKUP($N46,OFFSET(選手情報!$A$6:$BD$119,BB46,0),56,FALSE)),"")</f>
        <v/>
      </c>
      <c r="BE46" s="127" t="str">
        <f ca="1">IF(BD46&lt;&gt;"",IF(ISNA(VLOOKUP($N46,OFFSET(選手情報!$A$6:$M$119,BD46,0),13,FALSE)),"","/"&amp;VLOOKUP($N46,OFFSET(選手情報!$A$6:$M$119,BD46,0),13,FALSE)),"")</f>
        <v/>
      </c>
      <c r="BF46" s="127" t="str">
        <f ca="1">IF(BD46&lt;&gt;"",IF(ISNA(VLOOKUP($N46,OFFSET(選手情報!$A$6:$BD$119,BD46,0),56,FALSE)),"",VLOOKUP($N46,OFFSET(選手情報!$A$6:$BD$119,BD46,0),56,FALSE)),"")</f>
        <v/>
      </c>
      <c r="BG46" s="127" t="str">
        <f ca="1">IF(BF46&lt;&gt;"",IF(ISNA(VLOOKUP($N46,OFFSET(選手情報!$A$6:$M$119,BF46,0),13,FALSE)),"","/"&amp;VLOOKUP($N46,OFFSET(選手情報!$A$6:$M$119,BF46,0),13,FALSE)),"")</f>
        <v/>
      </c>
      <c r="BH46" s="127" t="str">
        <f ca="1">IF(BF46&lt;&gt;"",IF(ISNA(VLOOKUP($N46,OFFSET(選手情報!$A$6:$BD$119,BF46,0),56,FALSE)),"",VLOOKUP($N46,OFFSET(選手情報!$A$6:$BD$119,BF46,0),56,FALSE)),"")</f>
        <v/>
      </c>
      <c r="BI46" s="127" t="str">
        <f ca="1">IF(BH46&lt;&gt;"",IF(ISNA(VLOOKUP($N46,OFFSET(選手情報!$A$6:$M$119,BH46,0),13,FALSE)),"","/"&amp;VLOOKUP($N46,OFFSET(選手情報!$A$6:$M$119,BH46,0),13,FALSE)),"")</f>
        <v/>
      </c>
    </row>
    <row r="47" spans="1:62" s="127" customFormat="1" ht="12.6" customHeight="1">
      <c r="A47" s="128" t="str">
        <f>IF(ISNA(VLOOKUP($C$2&amp;N47,選手データ!A:H,3,FALSE)),"",IF(M47&lt;&gt;M46,VLOOKUP($C$2&amp;N47,選手データ!A:H,3,FALSE),""))</f>
        <v/>
      </c>
      <c r="B47" s="129" t="str">
        <f>IF(A47&lt;&gt;"",VLOOKUP($C$2&amp;N47,選手データ!A:H,4,FALSE),"")</f>
        <v/>
      </c>
      <c r="C47" s="129" t="str">
        <f>IF(A47&lt;&gt;"",VLOOKUP($C$2&amp;N47,選手データ!A:H,5,FALSE),"")</f>
        <v/>
      </c>
      <c r="D47" s="129" t="str">
        <f>IF(A47&lt;&gt;"",VLOOKUP($C$2&amp;N47,選手データ!A:H,6,FALSE),"")</f>
        <v/>
      </c>
      <c r="E47" s="129" t="str">
        <f>IF(A47&lt;&gt;"",VLOOKUP($C$2&amp;N47,選手データ!A:H,7,FALSE),"")</f>
        <v/>
      </c>
      <c r="F47" s="130" t="str">
        <f>IF(A47&lt;&gt;"",VLOOKUP($C$2&amp;N47,選手データ!A:H,8,FALSE),"")</f>
        <v/>
      </c>
      <c r="G47" s="130" t="str">
        <f>IF(F47&lt;&gt;"",IF(DATEDIF(F47,設定!$B$12,"Y")&lt;20,"〇",""),"")</f>
        <v/>
      </c>
      <c r="H47" s="131" t="str">
        <f t="shared" ca="1" si="0"/>
        <v/>
      </c>
      <c r="I47" s="132" t="str">
        <f t="shared" ca="1" si="1"/>
        <v/>
      </c>
      <c r="J47" s="131" t="str">
        <f t="shared" ca="1" si="2"/>
        <v/>
      </c>
      <c r="K47" s="130" t="str">
        <f>IF(A47&lt;&gt;"",IF(COUNTIF(リレーチーム情報!$B$5:$B$10,A47&amp;E47)=1,"〇",""),"")</f>
        <v/>
      </c>
      <c r="L47" s="133" t="str">
        <f>IF(A47&lt;&gt;"",IF(COUNTIF(リレーチーム情報!$B$11:$B$16,A47&amp;E47)=1,"〇",""),"")</f>
        <v/>
      </c>
      <c r="M47" s="127">
        <f>IF(学校情報!$A$4&lt;&gt;"",0,IF(S46=0,MAX($M$37:M46)+1,M46))</f>
        <v>0</v>
      </c>
      <c r="N47" s="127" t="str">
        <f>IF(M47&lt;&gt;0,VLOOKUP(M47,選手情報!BF:BG,2,FALSE),"")</f>
        <v/>
      </c>
      <c r="O47" s="127" t="str">
        <f ca="1">IF(M47&lt;&gt;0,VLOOKUP(N47,OFFSET(選手情報!$A$6:$W$119,IF(M47&lt;&gt;M46,0,R46),0),13,FALSE),"")</f>
        <v/>
      </c>
      <c r="P47" s="127" t="str">
        <f ca="1">IF(M47&lt;&gt;0,VLOOKUP(N47,OFFSET(選手情報!$A$6:$W$119,IF(M47&lt;&gt;M46,0,R46),0),16,FALSE),"")</f>
        <v/>
      </c>
      <c r="Q47" s="127" t="str">
        <f ca="1">IF(M47&lt;&gt;0,VLOOKUP(N47,OFFSET(選手情報!$A$6:$W$119,IF(M47&lt;&gt;M46,0,R46),0),21,FALSE),"")</f>
        <v/>
      </c>
      <c r="R47" s="127">
        <f ca="1">IF(M47&lt;&gt;0,VLOOKUP(N47,OFFSET(選手情報!$A$6:$BD$119,IF(M47&lt;&gt;M46,0,R46),0),56,FALSE),0)</f>
        <v>0</v>
      </c>
      <c r="S47" s="127">
        <f ca="1">IF(M47&lt;&gt;0,IF(ISNA(R47),0,COUNTIF(OFFSET(選手情報!$A$6:$A$119,R47,0),N47)),0)</f>
        <v>0</v>
      </c>
      <c r="U47" s="127">
        <f t="shared" si="3"/>
        <v>0</v>
      </c>
      <c r="V47" s="127">
        <f t="shared" ca="1" si="4"/>
        <v>1</v>
      </c>
      <c r="W47" s="127">
        <f t="shared" ca="1" si="5"/>
        <v>0</v>
      </c>
      <c r="X47" s="127" t="str">
        <f t="shared" ca="1" si="6"/>
        <v/>
      </c>
      <c r="Y47" s="127" t="str">
        <f>IF($A47&lt;&gt;"",IF(ISNA(VLOOKUP($N47,選手情報!$A$6:$M$119,13,FALSE)),"","/"&amp;VLOOKUP($N47,選手情報!$A$6:$M$119,13,FALSE)),"")</f>
        <v/>
      </c>
      <c r="Z47" s="127" t="str">
        <f ca="1">IF(Y47&lt;&gt;"",IF(ISNA(VLOOKUP($N47,OFFSET(選手情報!$A$6:$BD$119,0,0),56,FALSE)),"",VLOOKUP($N47,OFFSET(選手情報!$A$6:$BD$119,0,0),56,FALSE)),"")</f>
        <v/>
      </c>
      <c r="AA47" s="127" t="str">
        <f ca="1">IF(Z47&lt;&gt;"",IF(ISNA(VLOOKUP($N47,OFFSET(選手情報!$A$6:$M$119,Z47,0),13,FALSE)),"","/"&amp;VLOOKUP($N47,OFFSET(選手情報!$A$6:$M$119,Z47,0),13,FALSE)),"")</f>
        <v/>
      </c>
      <c r="AB47" s="127" t="str">
        <f ca="1">IF(Z47&lt;&gt;"",IF(ISNA(VLOOKUP($N47,OFFSET(選手情報!$A$6:$BD$119,Z47,0),56,FALSE)),"",VLOOKUP($N47,OFFSET(選手情報!$A$6:$BD$119,Z47,0),56,FALSE)),"")</f>
        <v/>
      </c>
      <c r="AC47" s="127" t="str">
        <f ca="1">IF(AB47&lt;&gt;"",IF(ISNA(VLOOKUP($N47,OFFSET(選手情報!$A$6:$M$119,AB47,0),13,FALSE)),"","/"&amp;VLOOKUP($N47,OFFSET(選手情報!$A$6:$M$119,AB47,0),13,FALSE)),"")</f>
        <v/>
      </c>
      <c r="AD47" s="127" t="str">
        <f ca="1">IF(AB47&lt;&gt;"",IF(ISNA(VLOOKUP($N47,OFFSET(選手情報!$A$6:$BD$119,AB47,0),56,FALSE)),"",VLOOKUP($N47,OFFSET(選手情報!$A$6:$BD$119,AB47,0),56,FALSE)),"")</f>
        <v/>
      </c>
      <c r="AE47" s="127" t="str">
        <f ca="1">IF(AD47&lt;&gt;"",IF(ISNA(VLOOKUP($N47,OFFSET(選手情報!$A$6:$M$119,AD47,0),13,FALSE)),"","/"&amp;VLOOKUP($N47,OFFSET(選手情報!$A$6:$M$119,AD47,0),13,FALSE)),"")</f>
        <v/>
      </c>
      <c r="AF47" s="127" t="str">
        <f ca="1">IF(AD47&lt;&gt;"",IF(ISNA(VLOOKUP($N47,OFFSET(選手情報!$A$6:$BD$119,AD47,0),56,FALSE)),"",VLOOKUP($N47,OFFSET(選手情報!$A$6:$BD$119,AD47,0),56,FALSE)),"")</f>
        <v/>
      </c>
      <c r="AG47" s="127" t="str">
        <f ca="1">IF(AF47&lt;&gt;"",IF(ISNA(VLOOKUP($N47,OFFSET(選手情報!$A$6:$M$119,AF47,0),13,FALSE)),"","/"&amp;VLOOKUP($N47,OFFSET(選手情報!$A$6:$M$119,AF47,0),13,FALSE)),"")</f>
        <v/>
      </c>
      <c r="AH47" s="127" t="str">
        <f ca="1">IF(AF47&lt;&gt;"",IF(ISNA(VLOOKUP($N47,OFFSET(選手情報!$A$6:$BD$119,AF47,0),56,FALSE)),"",VLOOKUP($N47,OFFSET(選手情報!$A$6:$BD$119,AF47,0),56,FALSE)),"")</f>
        <v/>
      </c>
      <c r="AI47" s="127" t="str">
        <f ca="1">IF(AH47&lt;&gt;"",IF(ISNA(VLOOKUP($N47,OFFSET(選手情報!$A$6:$M$119,AH47,0),13,FALSE)),"","/"&amp;VLOOKUP($N47,OFFSET(選手情報!$A$6:$M$119,AH47,0),13,FALSE)),"")</f>
        <v/>
      </c>
      <c r="AJ47" s="127" t="str">
        <f ca="1">IF(AH47&lt;&gt;"",IF(ISNA(VLOOKUP($N47,OFFSET(選手情報!$A$6:$BD$119,AH47,0),56,FALSE)),"",VLOOKUP($N47,OFFSET(選手情報!$A$6:$BD$119,AH47,0),56,FALSE)),"")</f>
        <v/>
      </c>
      <c r="AK47" s="127" t="str">
        <f ca="1">IF(AJ47&lt;&gt;"",IF(ISNA(VLOOKUP($N47,OFFSET(選手情報!$A$6:$M$119,AJ47,0),13,FALSE)),"","/"&amp;VLOOKUP($N47,OFFSET(選手情報!$A$6:$M$119,AJ47,0),13,FALSE)),"")</f>
        <v/>
      </c>
      <c r="AL47" s="127" t="str">
        <f ca="1">IF(AJ47&lt;&gt;"",IF(ISNA(VLOOKUP($N47,OFFSET(選手情報!$A$6:$BD$119,AJ47,0),56,FALSE)),"",VLOOKUP($N47,OFFSET(選手情報!$A$6:$BD$119,AJ47,0),56,FALSE)),"")</f>
        <v/>
      </c>
      <c r="AM47" s="127" t="str">
        <f ca="1">IF(AL47&lt;&gt;"",IF(ISNA(VLOOKUP($N47,OFFSET(選手情報!$A$6:$M$119,AL47,0),13,FALSE)),"","/"&amp;VLOOKUP($N47,OFFSET(選手情報!$A$6:$M$119,AL47,0),13,FALSE)),"")</f>
        <v/>
      </c>
      <c r="AN47" s="127" t="str">
        <f ca="1">IF(AL47&lt;&gt;"",IF(ISNA(VLOOKUP($N47,OFFSET(選手情報!$A$6:$BD$119,AL47,0),56,FALSE)),"",VLOOKUP($N47,OFFSET(選手情報!$A$6:$BD$119,AL47,0),56,FALSE)),"")</f>
        <v/>
      </c>
      <c r="AO47" s="127" t="str">
        <f ca="1">IF(AN47&lt;&gt;"",IF(ISNA(VLOOKUP($N47,OFFSET(選手情報!$A$6:$M$119,AN47,0),13,FALSE)),"","/"&amp;VLOOKUP($N47,OFFSET(選手情報!$A$6:$M$119,AN47,0),13,FALSE)),"")</f>
        <v/>
      </c>
      <c r="AP47" s="127" t="str">
        <f ca="1">IF(AN47&lt;&gt;"",IF(ISNA(VLOOKUP($N47,OFFSET(選手情報!$A$6:$BD$119,AN47,0),56,FALSE)),"",VLOOKUP($N47,OFFSET(選手情報!$A$6:$BD$119,AN47,0),56,FALSE)),"")</f>
        <v/>
      </c>
      <c r="AQ47" s="127" t="str">
        <f ca="1">IF(AP47&lt;&gt;"",IF(ISNA(VLOOKUP($N47,OFFSET(選手情報!$A$6:$M$119,AP47,0),13,FALSE)),"","/"&amp;VLOOKUP($N47,OFFSET(選手情報!$A$6:$M$119,AP47,0),13,FALSE)),"")</f>
        <v/>
      </c>
      <c r="AR47" s="127" t="str">
        <f ca="1">IF(AP47&lt;&gt;"",IF(ISNA(VLOOKUP($N47,OFFSET(選手情報!$A$6:$BD$119,AP47,0),56,FALSE)),"",VLOOKUP($N47,OFFSET(選手情報!$A$6:$BD$119,AP47,0),56,FALSE)),"")</f>
        <v/>
      </c>
      <c r="AS47" s="127" t="str">
        <f ca="1">IF(AR47&lt;&gt;"",IF(ISNA(VLOOKUP($N47,OFFSET(選手情報!$A$6:$M$119,AR47,0),13,FALSE)),"","/"&amp;VLOOKUP($N47,OFFSET(選手情報!$A$6:$M$119,AR47,0),13,FALSE)),"")</f>
        <v/>
      </c>
      <c r="AT47" s="127" t="str">
        <f ca="1">IF(AR47&lt;&gt;"",IF(ISNA(VLOOKUP($N47,OFFSET(選手情報!$A$6:$BD$119,AR47,0),56,FALSE)),"",VLOOKUP($N47,OFFSET(選手情報!$A$6:$BD$119,AR47,0),56,FALSE)),"")</f>
        <v/>
      </c>
      <c r="AU47" s="127" t="str">
        <f ca="1">IF(AT47&lt;&gt;"",IF(ISNA(VLOOKUP($N47,OFFSET(選手情報!$A$6:$M$119,AT47,0),13,FALSE)),"","/"&amp;VLOOKUP($N47,OFFSET(選手情報!$A$6:$M$119,AT47,0),13,FALSE)),"")</f>
        <v/>
      </c>
      <c r="AV47" s="127" t="str">
        <f ca="1">IF(AT47&lt;&gt;"",IF(ISNA(VLOOKUP($N47,OFFSET(選手情報!$A$6:$BD$119,AT47,0),56,FALSE)),"",VLOOKUP($N47,OFFSET(選手情報!$A$6:$BD$119,AT47,0),56,FALSE)),"")</f>
        <v/>
      </c>
      <c r="AW47" s="127" t="str">
        <f ca="1">IF(AV47&lt;&gt;"",IF(ISNA(VLOOKUP($N47,OFFSET(選手情報!$A$6:$M$119,AV47,0),13,FALSE)),"","/"&amp;VLOOKUP($N47,OFFSET(選手情報!$A$6:$M$119,AV47,0),13,FALSE)),"")</f>
        <v/>
      </c>
      <c r="AX47" s="127" t="str">
        <f ca="1">IF(AV47&lt;&gt;"",IF(ISNA(VLOOKUP($N47,OFFSET(選手情報!$A$6:$BD$119,AV47,0),56,FALSE)),"",VLOOKUP($N47,OFFSET(選手情報!$A$6:$BD$119,AV47,0),56,FALSE)),"")</f>
        <v/>
      </c>
      <c r="AY47" s="127" t="str">
        <f ca="1">IF(AX47&lt;&gt;"",IF(ISNA(VLOOKUP($N47,OFFSET(選手情報!$A$6:$M$119,AX47,0),13,FALSE)),"","/"&amp;VLOOKUP($N47,OFFSET(選手情報!$A$6:$M$119,AX47,0),13,FALSE)),"")</f>
        <v/>
      </c>
      <c r="AZ47" s="127" t="str">
        <f ca="1">IF(AX47&lt;&gt;"",IF(ISNA(VLOOKUP($N47,OFFSET(選手情報!$A$6:$BD$119,AX47,0),56,FALSE)),"",VLOOKUP($N47,OFFSET(選手情報!$A$6:$BD$119,AX47,0),56,FALSE)),"")</f>
        <v/>
      </c>
      <c r="BA47" s="127" t="str">
        <f ca="1">IF(AZ47&lt;&gt;"",IF(ISNA(VLOOKUP($N47,OFFSET(選手情報!$A$6:$M$119,AZ47,0),13,FALSE)),"","/"&amp;VLOOKUP($N47,OFFSET(選手情報!$A$6:$M$119,AZ47,0),13,FALSE)),"")</f>
        <v/>
      </c>
      <c r="BB47" s="127" t="str">
        <f ca="1">IF(AZ47&lt;&gt;"",IF(ISNA(VLOOKUP($N47,OFFSET(選手情報!$A$6:$BD$119,AZ47,0),56,FALSE)),"",VLOOKUP($N47,OFFSET(選手情報!$A$6:$BD$119,AZ47,0),56,FALSE)),"")</f>
        <v/>
      </c>
      <c r="BC47" s="127" t="str">
        <f ca="1">IF(BB47&lt;&gt;"",IF(ISNA(VLOOKUP($N47,OFFSET(選手情報!$A$6:$M$119,BB47,0),13,FALSE)),"","/"&amp;VLOOKUP($N47,OFFSET(選手情報!$A$6:$M$119,BB47,0),13,FALSE)),"")</f>
        <v/>
      </c>
      <c r="BD47" s="127" t="str">
        <f ca="1">IF(BB47&lt;&gt;"",IF(ISNA(VLOOKUP($N47,OFFSET(選手情報!$A$6:$BD$119,BB47,0),56,FALSE)),"",VLOOKUP($N47,OFFSET(選手情報!$A$6:$BD$119,BB47,0),56,FALSE)),"")</f>
        <v/>
      </c>
      <c r="BE47" s="127" t="str">
        <f ca="1">IF(BD47&lt;&gt;"",IF(ISNA(VLOOKUP($N47,OFFSET(選手情報!$A$6:$M$119,BD47,0),13,FALSE)),"","/"&amp;VLOOKUP($N47,OFFSET(選手情報!$A$6:$M$119,BD47,0),13,FALSE)),"")</f>
        <v/>
      </c>
      <c r="BF47" s="127" t="str">
        <f ca="1">IF(BD47&lt;&gt;"",IF(ISNA(VLOOKUP($N47,OFFSET(選手情報!$A$6:$BD$119,BD47,0),56,FALSE)),"",VLOOKUP($N47,OFFSET(選手情報!$A$6:$BD$119,BD47,0),56,FALSE)),"")</f>
        <v/>
      </c>
      <c r="BG47" s="127" t="str">
        <f ca="1">IF(BF47&lt;&gt;"",IF(ISNA(VLOOKUP($N47,OFFSET(選手情報!$A$6:$M$119,BF47,0),13,FALSE)),"","/"&amp;VLOOKUP($N47,OFFSET(選手情報!$A$6:$M$119,BF47,0),13,FALSE)),"")</f>
        <v/>
      </c>
      <c r="BH47" s="127" t="str">
        <f ca="1">IF(BF47&lt;&gt;"",IF(ISNA(VLOOKUP($N47,OFFSET(選手情報!$A$6:$BD$119,BF47,0),56,FALSE)),"",VLOOKUP($N47,OFFSET(選手情報!$A$6:$BD$119,BF47,0),56,FALSE)),"")</f>
        <v/>
      </c>
      <c r="BI47" s="127" t="str">
        <f ca="1">IF(BH47&lt;&gt;"",IF(ISNA(VLOOKUP($N47,OFFSET(選手情報!$A$6:$M$119,BH47,0),13,FALSE)),"","/"&amp;VLOOKUP($N47,OFFSET(選手情報!$A$6:$M$119,BH47,0),13,FALSE)),"")</f>
        <v/>
      </c>
    </row>
    <row r="48" spans="1:62" s="127" customFormat="1" ht="12.6" customHeight="1">
      <c r="A48" s="128" t="str">
        <f>IF(ISNA(VLOOKUP($C$2&amp;N48,選手データ!A:H,3,FALSE)),"",IF(M48&lt;&gt;M47,VLOOKUP($C$2&amp;N48,選手データ!A:H,3,FALSE),""))</f>
        <v/>
      </c>
      <c r="B48" s="129" t="str">
        <f>IF(A48&lt;&gt;"",VLOOKUP($C$2&amp;N48,選手データ!A:H,4,FALSE),"")</f>
        <v/>
      </c>
      <c r="C48" s="129" t="str">
        <f>IF(A48&lt;&gt;"",VLOOKUP($C$2&amp;N48,選手データ!A:H,5,FALSE),"")</f>
        <v/>
      </c>
      <c r="D48" s="129" t="str">
        <f>IF(A48&lt;&gt;"",VLOOKUP($C$2&amp;N48,選手データ!A:H,6,FALSE),"")</f>
        <v/>
      </c>
      <c r="E48" s="129" t="str">
        <f>IF(A48&lt;&gt;"",VLOOKUP($C$2&amp;N48,選手データ!A:H,7,FALSE),"")</f>
        <v/>
      </c>
      <c r="F48" s="130" t="str">
        <f>IF(A48&lt;&gt;"",VLOOKUP($C$2&amp;N48,選手データ!A:H,8,FALSE),"")</f>
        <v/>
      </c>
      <c r="G48" s="130" t="str">
        <f>IF(F48&lt;&gt;"",IF(DATEDIF(F48,設定!$B$12,"Y")&lt;20,"〇",""),"")</f>
        <v/>
      </c>
      <c r="H48" s="131" t="str">
        <f t="shared" ca="1" si="0"/>
        <v/>
      </c>
      <c r="I48" s="132" t="str">
        <f t="shared" ca="1" si="1"/>
        <v/>
      </c>
      <c r="J48" s="131" t="str">
        <f t="shared" ca="1" si="2"/>
        <v/>
      </c>
      <c r="K48" s="130" t="str">
        <f>IF(A48&lt;&gt;"",IF(COUNTIF(リレーチーム情報!$B$5:$B$10,A48&amp;E48)=1,"〇",""),"")</f>
        <v/>
      </c>
      <c r="L48" s="133" t="str">
        <f>IF(A48&lt;&gt;"",IF(COUNTIF(リレーチーム情報!$B$11:$B$16,A48&amp;E48)=1,"〇",""),"")</f>
        <v/>
      </c>
      <c r="M48" s="127">
        <f>IF(学校情報!$A$4&lt;&gt;"",0,IF(S47=0,MAX($M$37:M47)+1,M47))</f>
        <v>0</v>
      </c>
      <c r="N48" s="127" t="str">
        <f>IF(M48&lt;&gt;0,VLOOKUP(M48,選手情報!BF:BG,2,FALSE),"")</f>
        <v/>
      </c>
      <c r="O48" s="127" t="str">
        <f ca="1">IF(M48&lt;&gt;0,VLOOKUP(N48,OFFSET(選手情報!$A$6:$W$119,IF(M48&lt;&gt;M47,0,R47),0),13,FALSE),"")</f>
        <v/>
      </c>
      <c r="P48" s="127" t="str">
        <f ca="1">IF(M48&lt;&gt;0,VLOOKUP(N48,OFFSET(選手情報!$A$6:$W$119,IF(M48&lt;&gt;M47,0,R47),0),16,FALSE),"")</f>
        <v/>
      </c>
      <c r="Q48" s="127" t="str">
        <f ca="1">IF(M48&lt;&gt;0,VLOOKUP(N48,OFFSET(選手情報!$A$6:$W$119,IF(M48&lt;&gt;M47,0,R47),0),21,FALSE),"")</f>
        <v/>
      </c>
      <c r="R48" s="127">
        <f ca="1">IF(M48&lt;&gt;0,VLOOKUP(N48,OFFSET(選手情報!$A$6:$BD$119,IF(M48&lt;&gt;M47,0,R47),0),56,FALSE),0)</f>
        <v>0</v>
      </c>
      <c r="S48" s="127">
        <f ca="1">IF(M48&lt;&gt;0,IF(ISNA(R48),0,COUNTIF(OFFSET(選手情報!$A$6:$A$119,R48,0),N48)),0)</f>
        <v>0</v>
      </c>
      <c r="U48" s="127">
        <f t="shared" si="3"/>
        <v>0</v>
      </c>
      <c r="V48" s="127">
        <f t="shared" ca="1" si="4"/>
        <v>1</v>
      </c>
      <c r="W48" s="127">
        <f t="shared" ca="1" si="5"/>
        <v>0</v>
      </c>
      <c r="X48" s="127" t="str">
        <f t="shared" ca="1" si="6"/>
        <v/>
      </c>
      <c r="Y48" s="127" t="str">
        <f>IF($A48&lt;&gt;"",IF(ISNA(VLOOKUP($N48,選手情報!$A$6:$M$119,13,FALSE)),"","/"&amp;VLOOKUP($N48,選手情報!$A$6:$M$119,13,FALSE)),"")</f>
        <v/>
      </c>
      <c r="Z48" s="127" t="str">
        <f ca="1">IF(Y48&lt;&gt;"",IF(ISNA(VLOOKUP($N48,OFFSET(選手情報!$A$6:$BD$119,0,0),56,FALSE)),"",VLOOKUP($N48,OFFSET(選手情報!$A$6:$BD$119,0,0),56,FALSE)),"")</f>
        <v/>
      </c>
      <c r="AA48" s="127" t="str">
        <f ca="1">IF(Z48&lt;&gt;"",IF(ISNA(VLOOKUP($N48,OFFSET(選手情報!$A$6:$M$119,Z48,0),13,FALSE)),"","/"&amp;VLOOKUP($N48,OFFSET(選手情報!$A$6:$M$119,Z48,0),13,FALSE)),"")</f>
        <v/>
      </c>
      <c r="AB48" s="127" t="str">
        <f ca="1">IF(Z48&lt;&gt;"",IF(ISNA(VLOOKUP($N48,OFFSET(選手情報!$A$6:$BD$119,Z48,0),56,FALSE)),"",VLOOKUP($N48,OFFSET(選手情報!$A$6:$BD$119,Z48,0),56,FALSE)),"")</f>
        <v/>
      </c>
      <c r="AC48" s="127" t="str">
        <f ca="1">IF(AB48&lt;&gt;"",IF(ISNA(VLOOKUP($N48,OFFSET(選手情報!$A$6:$M$119,AB48,0),13,FALSE)),"","/"&amp;VLOOKUP($N48,OFFSET(選手情報!$A$6:$M$119,AB48,0),13,FALSE)),"")</f>
        <v/>
      </c>
      <c r="AD48" s="127" t="str">
        <f ca="1">IF(AB48&lt;&gt;"",IF(ISNA(VLOOKUP($N48,OFFSET(選手情報!$A$6:$BD$119,AB48,0),56,FALSE)),"",VLOOKUP($N48,OFFSET(選手情報!$A$6:$BD$119,AB48,0),56,FALSE)),"")</f>
        <v/>
      </c>
      <c r="AE48" s="127" t="str">
        <f ca="1">IF(AD48&lt;&gt;"",IF(ISNA(VLOOKUP($N48,OFFSET(選手情報!$A$6:$M$119,AD48,0),13,FALSE)),"","/"&amp;VLOOKUP($N48,OFFSET(選手情報!$A$6:$M$119,AD48,0),13,FALSE)),"")</f>
        <v/>
      </c>
      <c r="AF48" s="127" t="str">
        <f ca="1">IF(AD48&lt;&gt;"",IF(ISNA(VLOOKUP($N48,OFFSET(選手情報!$A$6:$BD$119,AD48,0),56,FALSE)),"",VLOOKUP($N48,OFFSET(選手情報!$A$6:$BD$119,AD48,0),56,FALSE)),"")</f>
        <v/>
      </c>
      <c r="AG48" s="127" t="str">
        <f ca="1">IF(AF48&lt;&gt;"",IF(ISNA(VLOOKUP($N48,OFFSET(選手情報!$A$6:$M$119,AF48,0),13,FALSE)),"","/"&amp;VLOOKUP($N48,OFFSET(選手情報!$A$6:$M$119,AF48,0),13,FALSE)),"")</f>
        <v/>
      </c>
      <c r="AH48" s="127" t="str">
        <f ca="1">IF(AF48&lt;&gt;"",IF(ISNA(VLOOKUP($N48,OFFSET(選手情報!$A$6:$BD$119,AF48,0),56,FALSE)),"",VLOOKUP($N48,OFFSET(選手情報!$A$6:$BD$119,AF48,0),56,FALSE)),"")</f>
        <v/>
      </c>
      <c r="AI48" s="127" t="str">
        <f ca="1">IF(AH48&lt;&gt;"",IF(ISNA(VLOOKUP($N48,OFFSET(選手情報!$A$6:$M$119,AH48,0),13,FALSE)),"","/"&amp;VLOOKUP($N48,OFFSET(選手情報!$A$6:$M$119,AH48,0),13,FALSE)),"")</f>
        <v/>
      </c>
      <c r="AJ48" s="127" t="str">
        <f ca="1">IF(AH48&lt;&gt;"",IF(ISNA(VLOOKUP($N48,OFFSET(選手情報!$A$6:$BD$119,AH48,0),56,FALSE)),"",VLOOKUP($N48,OFFSET(選手情報!$A$6:$BD$119,AH48,0),56,FALSE)),"")</f>
        <v/>
      </c>
      <c r="AK48" s="127" t="str">
        <f ca="1">IF(AJ48&lt;&gt;"",IF(ISNA(VLOOKUP($N48,OFFSET(選手情報!$A$6:$M$119,AJ48,0),13,FALSE)),"","/"&amp;VLOOKUP($N48,OFFSET(選手情報!$A$6:$M$119,AJ48,0),13,FALSE)),"")</f>
        <v/>
      </c>
      <c r="AL48" s="127" t="str">
        <f ca="1">IF(AJ48&lt;&gt;"",IF(ISNA(VLOOKUP($N48,OFFSET(選手情報!$A$6:$BD$119,AJ48,0),56,FALSE)),"",VLOOKUP($N48,OFFSET(選手情報!$A$6:$BD$119,AJ48,0),56,FALSE)),"")</f>
        <v/>
      </c>
      <c r="AM48" s="127" t="str">
        <f ca="1">IF(AL48&lt;&gt;"",IF(ISNA(VLOOKUP($N48,OFFSET(選手情報!$A$6:$M$119,AL48,0),13,FALSE)),"","/"&amp;VLOOKUP($N48,OFFSET(選手情報!$A$6:$M$119,AL48,0),13,FALSE)),"")</f>
        <v/>
      </c>
      <c r="AN48" s="127" t="str">
        <f ca="1">IF(AL48&lt;&gt;"",IF(ISNA(VLOOKUP($N48,OFFSET(選手情報!$A$6:$BD$119,AL48,0),56,FALSE)),"",VLOOKUP($N48,OFFSET(選手情報!$A$6:$BD$119,AL48,0),56,FALSE)),"")</f>
        <v/>
      </c>
      <c r="AO48" s="127" t="str">
        <f ca="1">IF(AN48&lt;&gt;"",IF(ISNA(VLOOKUP($N48,OFFSET(選手情報!$A$6:$M$119,AN48,0),13,FALSE)),"","/"&amp;VLOOKUP($N48,OFFSET(選手情報!$A$6:$M$119,AN48,0),13,FALSE)),"")</f>
        <v/>
      </c>
      <c r="AP48" s="127" t="str">
        <f ca="1">IF(AN48&lt;&gt;"",IF(ISNA(VLOOKUP($N48,OFFSET(選手情報!$A$6:$BD$119,AN48,0),56,FALSE)),"",VLOOKUP($N48,OFFSET(選手情報!$A$6:$BD$119,AN48,0),56,FALSE)),"")</f>
        <v/>
      </c>
      <c r="AQ48" s="127" t="str">
        <f ca="1">IF(AP48&lt;&gt;"",IF(ISNA(VLOOKUP($N48,OFFSET(選手情報!$A$6:$M$119,AP48,0),13,FALSE)),"","/"&amp;VLOOKUP($N48,OFFSET(選手情報!$A$6:$M$119,AP48,0),13,FALSE)),"")</f>
        <v/>
      </c>
      <c r="AR48" s="127" t="str">
        <f ca="1">IF(AP48&lt;&gt;"",IF(ISNA(VLOOKUP($N48,OFFSET(選手情報!$A$6:$BD$119,AP48,0),56,FALSE)),"",VLOOKUP($N48,OFFSET(選手情報!$A$6:$BD$119,AP48,0),56,FALSE)),"")</f>
        <v/>
      </c>
      <c r="AS48" s="127" t="str">
        <f ca="1">IF(AR48&lt;&gt;"",IF(ISNA(VLOOKUP($N48,OFFSET(選手情報!$A$6:$M$119,AR48,0),13,FALSE)),"","/"&amp;VLOOKUP($N48,OFFSET(選手情報!$A$6:$M$119,AR48,0),13,FALSE)),"")</f>
        <v/>
      </c>
      <c r="AT48" s="127" t="str">
        <f ca="1">IF(AR48&lt;&gt;"",IF(ISNA(VLOOKUP($N48,OFFSET(選手情報!$A$6:$BD$119,AR48,0),56,FALSE)),"",VLOOKUP($N48,OFFSET(選手情報!$A$6:$BD$119,AR48,0),56,FALSE)),"")</f>
        <v/>
      </c>
      <c r="AU48" s="127" t="str">
        <f ca="1">IF(AT48&lt;&gt;"",IF(ISNA(VLOOKUP($N48,OFFSET(選手情報!$A$6:$M$119,AT48,0),13,FALSE)),"","/"&amp;VLOOKUP($N48,OFFSET(選手情報!$A$6:$M$119,AT48,0),13,FALSE)),"")</f>
        <v/>
      </c>
      <c r="AV48" s="127" t="str">
        <f ca="1">IF(AT48&lt;&gt;"",IF(ISNA(VLOOKUP($N48,OFFSET(選手情報!$A$6:$BD$119,AT48,0),56,FALSE)),"",VLOOKUP($N48,OFFSET(選手情報!$A$6:$BD$119,AT48,0),56,FALSE)),"")</f>
        <v/>
      </c>
      <c r="AW48" s="127" t="str">
        <f ca="1">IF(AV48&lt;&gt;"",IF(ISNA(VLOOKUP($N48,OFFSET(選手情報!$A$6:$M$119,AV48,0),13,FALSE)),"","/"&amp;VLOOKUP($N48,OFFSET(選手情報!$A$6:$M$119,AV48,0),13,FALSE)),"")</f>
        <v/>
      </c>
      <c r="AX48" s="127" t="str">
        <f ca="1">IF(AV48&lt;&gt;"",IF(ISNA(VLOOKUP($N48,OFFSET(選手情報!$A$6:$BD$119,AV48,0),56,FALSE)),"",VLOOKUP($N48,OFFSET(選手情報!$A$6:$BD$119,AV48,0),56,FALSE)),"")</f>
        <v/>
      </c>
      <c r="AY48" s="127" t="str">
        <f ca="1">IF(AX48&lt;&gt;"",IF(ISNA(VLOOKUP($N48,OFFSET(選手情報!$A$6:$M$119,AX48,0),13,FALSE)),"","/"&amp;VLOOKUP($N48,OFFSET(選手情報!$A$6:$M$119,AX48,0),13,FALSE)),"")</f>
        <v/>
      </c>
      <c r="AZ48" s="127" t="str">
        <f ca="1">IF(AX48&lt;&gt;"",IF(ISNA(VLOOKUP($N48,OFFSET(選手情報!$A$6:$BD$119,AX48,0),56,FALSE)),"",VLOOKUP($N48,OFFSET(選手情報!$A$6:$BD$119,AX48,0),56,FALSE)),"")</f>
        <v/>
      </c>
      <c r="BA48" s="127" t="str">
        <f ca="1">IF(AZ48&lt;&gt;"",IF(ISNA(VLOOKUP($N48,OFFSET(選手情報!$A$6:$M$119,AZ48,0),13,FALSE)),"","/"&amp;VLOOKUP($N48,OFFSET(選手情報!$A$6:$M$119,AZ48,0),13,FALSE)),"")</f>
        <v/>
      </c>
      <c r="BB48" s="127" t="str">
        <f ca="1">IF(AZ48&lt;&gt;"",IF(ISNA(VLOOKUP($N48,OFFSET(選手情報!$A$6:$BD$119,AZ48,0),56,FALSE)),"",VLOOKUP($N48,OFFSET(選手情報!$A$6:$BD$119,AZ48,0),56,FALSE)),"")</f>
        <v/>
      </c>
      <c r="BC48" s="127" t="str">
        <f ca="1">IF(BB48&lt;&gt;"",IF(ISNA(VLOOKUP($N48,OFFSET(選手情報!$A$6:$M$119,BB48,0),13,FALSE)),"","/"&amp;VLOOKUP($N48,OFFSET(選手情報!$A$6:$M$119,BB48,0),13,FALSE)),"")</f>
        <v/>
      </c>
      <c r="BD48" s="127" t="str">
        <f ca="1">IF(BB48&lt;&gt;"",IF(ISNA(VLOOKUP($N48,OFFSET(選手情報!$A$6:$BD$119,BB48,0),56,FALSE)),"",VLOOKUP($N48,OFFSET(選手情報!$A$6:$BD$119,BB48,0),56,FALSE)),"")</f>
        <v/>
      </c>
      <c r="BE48" s="127" t="str">
        <f ca="1">IF(BD48&lt;&gt;"",IF(ISNA(VLOOKUP($N48,OFFSET(選手情報!$A$6:$M$119,BD48,0),13,FALSE)),"","/"&amp;VLOOKUP($N48,OFFSET(選手情報!$A$6:$M$119,BD48,0),13,FALSE)),"")</f>
        <v/>
      </c>
      <c r="BF48" s="127" t="str">
        <f ca="1">IF(BD48&lt;&gt;"",IF(ISNA(VLOOKUP($N48,OFFSET(選手情報!$A$6:$BD$119,BD48,0),56,FALSE)),"",VLOOKUP($N48,OFFSET(選手情報!$A$6:$BD$119,BD48,0),56,FALSE)),"")</f>
        <v/>
      </c>
      <c r="BG48" s="127" t="str">
        <f ca="1">IF(BF48&lt;&gt;"",IF(ISNA(VLOOKUP($N48,OFFSET(選手情報!$A$6:$M$119,BF48,0),13,FALSE)),"","/"&amp;VLOOKUP($N48,OFFSET(選手情報!$A$6:$M$119,BF48,0),13,FALSE)),"")</f>
        <v/>
      </c>
      <c r="BH48" s="127" t="str">
        <f ca="1">IF(BF48&lt;&gt;"",IF(ISNA(VLOOKUP($N48,OFFSET(選手情報!$A$6:$BD$119,BF48,0),56,FALSE)),"",VLOOKUP($N48,OFFSET(選手情報!$A$6:$BD$119,BF48,0),56,FALSE)),"")</f>
        <v/>
      </c>
      <c r="BI48" s="127" t="str">
        <f ca="1">IF(BH48&lt;&gt;"",IF(ISNA(VLOOKUP($N48,OFFSET(選手情報!$A$6:$M$119,BH48,0),13,FALSE)),"","/"&amp;VLOOKUP($N48,OFFSET(選手情報!$A$6:$M$119,BH48,0),13,FALSE)),"")</f>
        <v/>
      </c>
    </row>
    <row r="49" spans="1:61" s="127" customFormat="1" ht="12.6" customHeight="1">
      <c r="A49" s="128" t="str">
        <f>IF(ISNA(VLOOKUP($C$2&amp;N49,選手データ!A:H,3,FALSE)),"",IF(M49&lt;&gt;M48,VLOOKUP($C$2&amp;N49,選手データ!A:H,3,FALSE),""))</f>
        <v/>
      </c>
      <c r="B49" s="129" t="str">
        <f>IF(A49&lt;&gt;"",VLOOKUP($C$2&amp;N49,選手データ!A:H,4,FALSE),"")</f>
        <v/>
      </c>
      <c r="C49" s="129" t="str">
        <f>IF(A49&lt;&gt;"",VLOOKUP($C$2&amp;N49,選手データ!A:H,5,FALSE),"")</f>
        <v/>
      </c>
      <c r="D49" s="129" t="str">
        <f>IF(A49&lt;&gt;"",VLOOKUP($C$2&amp;N49,選手データ!A:H,6,FALSE),"")</f>
        <v/>
      </c>
      <c r="E49" s="129" t="str">
        <f>IF(A49&lt;&gt;"",VLOOKUP($C$2&amp;N49,選手データ!A:H,7,FALSE),"")</f>
        <v/>
      </c>
      <c r="F49" s="130" t="str">
        <f>IF(A49&lt;&gt;"",VLOOKUP($C$2&amp;N49,選手データ!A:H,8,FALSE),"")</f>
        <v/>
      </c>
      <c r="G49" s="130" t="str">
        <f>IF(F49&lt;&gt;"",IF(DATEDIF(F49,設定!$B$12,"Y")&lt;20,"〇",""),"")</f>
        <v/>
      </c>
      <c r="H49" s="131" t="str">
        <f t="shared" ca="1" si="0"/>
        <v/>
      </c>
      <c r="I49" s="132" t="str">
        <f t="shared" ca="1" si="1"/>
        <v/>
      </c>
      <c r="J49" s="131" t="str">
        <f t="shared" ca="1" si="2"/>
        <v/>
      </c>
      <c r="K49" s="130" t="str">
        <f>IF(A49&lt;&gt;"",IF(COUNTIF(リレーチーム情報!$B$5:$B$10,A49&amp;E49)=1,"〇",""),"")</f>
        <v/>
      </c>
      <c r="L49" s="133" t="str">
        <f>IF(A49&lt;&gt;"",IF(COUNTIF(リレーチーム情報!$B$11:$B$16,A49&amp;E49)=1,"〇",""),"")</f>
        <v/>
      </c>
      <c r="M49" s="127">
        <f>IF(学校情報!$A$4&lt;&gt;"",0,IF(S48=0,MAX($M$37:M48)+1,M48))</f>
        <v>0</v>
      </c>
      <c r="N49" s="127" t="str">
        <f>IF(M49&lt;&gt;0,VLOOKUP(M49,選手情報!BF:BG,2,FALSE),"")</f>
        <v/>
      </c>
      <c r="O49" s="127" t="str">
        <f ca="1">IF(M49&lt;&gt;0,VLOOKUP(N49,OFFSET(選手情報!$A$6:$W$119,IF(M49&lt;&gt;M48,0,R48),0),13,FALSE),"")</f>
        <v/>
      </c>
      <c r="P49" s="127" t="str">
        <f ca="1">IF(M49&lt;&gt;0,VLOOKUP(N49,OFFSET(選手情報!$A$6:$W$119,IF(M49&lt;&gt;M48,0,R48),0),16,FALSE),"")</f>
        <v/>
      </c>
      <c r="Q49" s="127" t="str">
        <f ca="1">IF(M49&lt;&gt;0,VLOOKUP(N49,OFFSET(選手情報!$A$6:$W$119,IF(M49&lt;&gt;M48,0,R48),0),21,FALSE),"")</f>
        <v/>
      </c>
      <c r="R49" s="127">
        <f ca="1">IF(M49&lt;&gt;0,VLOOKUP(N49,OFFSET(選手情報!$A$6:$BD$119,IF(M49&lt;&gt;M48,0,R48),0),56,FALSE),0)</f>
        <v>0</v>
      </c>
      <c r="S49" s="127">
        <f ca="1">IF(M49&lt;&gt;0,IF(ISNA(R49),0,COUNTIF(OFFSET(選手情報!$A$6:$A$119,R49,0),N49)),0)</f>
        <v>0</v>
      </c>
      <c r="U49" s="127">
        <f t="shared" si="3"/>
        <v>0</v>
      </c>
      <c r="V49" s="127">
        <f t="shared" ca="1" si="4"/>
        <v>1</v>
      </c>
      <c r="W49" s="127">
        <f t="shared" ca="1" si="5"/>
        <v>0</v>
      </c>
      <c r="X49" s="127" t="str">
        <f t="shared" ca="1" si="6"/>
        <v/>
      </c>
      <c r="Y49" s="127" t="str">
        <f>IF($A49&lt;&gt;"",IF(ISNA(VLOOKUP($N49,選手情報!$A$6:$M$119,13,FALSE)),"","/"&amp;VLOOKUP($N49,選手情報!$A$6:$M$119,13,FALSE)),"")</f>
        <v/>
      </c>
      <c r="Z49" s="127" t="str">
        <f ca="1">IF(Y49&lt;&gt;"",IF(ISNA(VLOOKUP($N49,OFFSET(選手情報!$A$6:$BD$119,0,0),56,FALSE)),"",VLOOKUP($N49,OFFSET(選手情報!$A$6:$BD$119,0,0),56,FALSE)),"")</f>
        <v/>
      </c>
      <c r="AA49" s="127" t="str">
        <f ca="1">IF(Z49&lt;&gt;"",IF(ISNA(VLOOKUP($N49,OFFSET(選手情報!$A$6:$M$119,Z49,0),13,FALSE)),"","/"&amp;VLOOKUP($N49,OFFSET(選手情報!$A$6:$M$119,Z49,0),13,FALSE)),"")</f>
        <v/>
      </c>
      <c r="AB49" s="127" t="str">
        <f ca="1">IF(Z49&lt;&gt;"",IF(ISNA(VLOOKUP($N49,OFFSET(選手情報!$A$6:$BD$119,Z49,0),56,FALSE)),"",VLOOKUP($N49,OFFSET(選手情報!$A$6:$BD$119,Z49,0),56,FALSE)),"")</f>
        <v/>
      </c>
      <c r="AC49" s="127" t="str">
        <f ca="1">IF(AB49&lt;&gt;"",IF(ISNA(VLOOKUP($N49,OFFSET(選手情報!$A$6:$M$119,AB49,0),13,FALSE)),"","/"&amp;VLOOKUP($N49,OFFSET(選手情報!$A$6:$M$119,AB49,0),13,FALSE)),"")</f>
        <v/>
      </c>
      <c r="AD49" s="127" t="str">
        <f ca="1">IF(AB49&lt;&gt;"",IF(ISNA(VLOOKUP($N49,OFFSET(選手情報!$A$6:$BD$119,AB49,0),56,FALSE)),"",VLOOKUP($N49,OFFSET(選手情報!$A$6:$BD$119,AB49,0),56,FALSE)),"")</f>
        <v/>
      </c>
      <c r="AE49" s="127" t="str">
        <f ca="1">IF(AD49&lt;&gt;"",IF(ISNA(VLOOKUP($N49,OFFSET(選手情報!$A$6:$M$119,AD49,0),13,FALSE)),"","/"&amp;VLOOKUP($N49,OFFSET(選手情報!$A$6:$M$119,AD49,0),13,FALSE)),"")</f>
        <v/>
      </c>
      <c r="AF49" s="127" t="str">
        <f ca="1">IF(AD49&lt;&gt;"",IF(ISNA(VLOOKUP($N49,OFFSET(選手情報!$A$6:$BD$119,AD49,0),56,FALSE)),"",VLOOKUP($N49,OFFSET(選手情報!$A$6:$BD$119,AD49,0),56,FALSE)),"")</f>
        <v/>
      </c>
      <c r="AG49" s="127" t="str">
        <f ca="1">IF(AF49&lt;&gt;"",IF(ISNA(VLOOKUP($N49,OFFSET(選手情報!$A$6:$M$119,AF49,0),13,FALSE)),"","/"&amp;VLOOKUP($N49,OFFSET(選手情報!$A$6:$M$119,AF49,0),13,FALSE)),"")</f>
        <v/>
      </c>
      <c r="AH49" s="127" t="str">
        <f ca="1">IF(AF49&lt;&gt;"",IF(ISNA(VLOOKUP($N49,OFFSET(選手情報!$A$6:$BD$119,AF49,0),56,FALSE)),"",VLOOKUP($N49,OFFSET(選手情報!$A$6:$BD$119,AF49,0),56,FALSE)),"")</f>
        <v/>
      </c>
      <c r="AI49" s="127" t="str">
        <f ca="1">IF(AH49&lt;&gt;"",IF(ISNA(VLOOKUP($N49,OFFSET(選手情報!$A$6:$M$119,AH49,0),13,FALSE)),"","/"&amp;VLOOKUP($N49,OFFSET(選手情報!$A$6:$M$119,AH49,0),13,FALSE)),"")</f>
        <v/>
      </c>
      <c r="AJ49" s="127" t="str">
        <f ca="1">IF(AH49&lt;&gt;"",IF(ISNA(VLOOKUP($N49,OFFSET(選手情報!$A$6:$BD$119,AH49,0),56,FALSE)),"",VLOOKUP($N49,OFFSET(選手情報!$A$6:$BD$119,AH49,0),56,FALSE)),"")</f>
        <v/>
      </c>
      <c r="AK49" s="127" t="str">
        <f ca="1">IF(AJ49&lt;&gt;"",IF(ISNA(VLOOKUP($N49,OFFSET(選手情報!$A$6:$M$119,AJ49,0),13,FALSE)),"","/"&amp;VLOOKUP($N49,OFFSET(選手情報!$A$6:$M$119,AJ49,0),13,FALSE)),"")</f>
        <v/>
      </c>
      <c r="AL49" s="127" t="str">
        <f ca="1">IF(AJ49&lt;&gt;"",IF(ISNA(VLOOKUP($N49,OFFSET(選手情報!$A$6:$BD$119,AJ49,0),56,FALSE)),"",VLOOKUP($N49,OFFSET(選手情報!$A$6:$BD$119,AJ49,0),56,FALSE)),"")</f>
        <v/>
      </c>
      <c r="AM49" s="127" t="str">
        <f ca="1">IF(AL49&lt;&gt;"",IF(ISNA(VLOOKUP($N49,OFFSET(選手情報!$A$6:$M$119,AL49,0),13,FALSE)),"","/"&amp;VLOOKUP($N49,OFFSET(選手情報!$A$6:$M$119,AL49,0),13,FALSE)),"")</f>
        <v/>
      </c>
      <c r="AN49" s="127" t="str">
        <f ca="1">IF(AL49&lt;&gt;"",IF(ISNA(VLOOKUP($N49,OFFSET(選手情報!$A$6:$BD$119,AL49,0),56,FALSE)),"",VLOOKUP($N49,OFFSET(選手情報!$A$6:$BD$119,AL49,0),56,FALSE)),"")</f>
        <v/>
      </c>
      <c r="AO49" s="127" t="str">
        <f ca="1">IF(AN49&lt;&gt;"",IF(ISNA(VLOOKUP($N49,OFFSET(選手情報!$A$6:$M$119,AN49,0),13,FALSE)),"","/"&amp;VLOOKUP($N49,OFFSET(選手情報!$A$6:$M$119,AN49,0),13,FALSE)),"")</f>
        <v/>
      </c>
      <c r="AP49" s="127" t="str">
        <f ca="1">IF(AN49&lt;&gt;"",IF(ISNA(VLOOKUP($N49,OFFSET(選手情報!$A$6:$BD$119,AN49,0),56,FALSE)),"",VLOOKUP($N49,OFFSET(選手情報!$A$6:$BD$119,AN49,0),56,FALSE)),"")</f>
        <v/>
      </c>
      <c r="AQ49" s="127" t="str">
        <f ca="1">IF(AP49&lt;&gt;"",IF(ISNA(VLOOKUP($N49,OFFSET(選手情報!$A$6:$M$119,AP49,0),13,FALSE)),"","/"&amp;VLOOKUP($N49,OFFSET(選手情報!$A$6:$M$119,AP49,0),13,FALSE)),"")</f>
        <v/>
      </c>
      <c r="AR49" s="127" t="str">
        <f ca="1">IF(AP49&lt;&gt;"",IF(ISNA(VLOOKUP($N49,OFFSET(選手情報!$A$6:$BD$119,AP49,0),56,FALSE)),"",VLOOKUP($N49,OFFSET(選手情報!$A$6:$BD$119,AP49,0),56,FALSE)),"")</f>
        <v/>
      </c>
      <c r="AS49" s="127" t="str">
        <f ca="1">IF(AR49&lt;&gt;"",IF(ISNA(VLOOKUP($N49,OFFSET(選手情報!$A$6:$M$119,AR49,0),13,FALSE)),"","/"&amp;VLOOKUP($N49,OFFSET(選手情報!$A$6:$M$119,AR49,0),13,FALSE)),"")</f>
        <v/>
      </c>
      <c r="AT49" s="127" t="str">
        <f ca="1">IF(AR49&lt;&gt;"",IF(ISNA(VLOOKUP($N49,OFFSET(選手情報!$A$6:$BD$119,AR49,0),56,FALSE)),"",VLOOKUP($N49,OFFSET(選手情報!$A$6:$BD$119,AR49,0),56,FALSE)),"")</f>
        <v/>
      </c>
      <c r="AU49" s="127" t="str">
        <f ca="1">IF(AT49&lt;&gt;"",IF(ISNA(VLOOKUP($N49,OFFSET(選手情報!$A$6:$M$119,AT49,0),13,FALSE)),"","/"&amp;VLOOKUP($N49,OFFSET(選手情報!$A$6:$M$119,AT49,0),13,FALSE)),"")</f>
        <v/>
      </c>
      <c r="AV49" s="127" t="str">
        <f ca="1">IF(AT49&lt;&gt;"",IF(ISNA(VLOOKUP($N49,OFFSET(選手情報!$A$6:$BD$119,AT49,0),56,FALSE)),"",VLOOKUP($N49,OFFSET(選手情報!$A$6:$BD$119,AT49,0),56,FALSE)),"")</f>
        <v/>
      </c>
      <c r="AW49" s="127" t="str">
        <f ca="1">IF(AV49&lt;&gt;"",IF(ISNA(VLOOKUP($N49,OFFSET(選手情報!$A$6:$M$119,AV49,0),13,FALSE)),"","/"&amp;VLOOKUP($N49,OFFSET(選手情報!$A$6:$M$119,AV49,0),13,FALSE)),"")</f>
        <v/>
      </c>
      <c r="AX49" s="127" t="str">
        <f ca="1">IF(AV49&lt;&gt;"",IF(ISNA(VLOOKUP($N49,OFFSET(選手情報!$A$6:$BD$119,AV49,0),56,FALSE)),"",VLOOKUP($N49,OFFSET(選手情報!$A$6:$BD$119,AV49,0),56,FALSE)),"")</f>
        <v/>
      </c>
      <c r="AY49" s="127" t="str">
        <f ca="1">IF(AX49&lt;&gt;"",IF(ISNA(VLOOKUP($N49,OFFSET(選手情報!$A$6:$M$119,AX49,0),13,FALSE)),"","/"&amp;VLOOKUP($N49,OFFSET(選手情報!$A$6:$M$119,AX49,0),13,FALSE)),"")</f>
        <v/>
      </c>
      <c r="AZ49" s="127" t="str">
        <f ca="1">IF(AX49&lt;&gt;"",IF(ISNA(VLOOKUP($N49,OFFSET(選手情報!$A$6:$BD$119,AX49,0),56,FALSE)),"",VLOOKUP($N49,OFFSET(選手情報!$A$6:$BD$119,AX49,0),56,FALSE)),"")</f>
        <v/>
      </c>
      <c r="BA49" s="127" t="str">
        <f ca="1">IF(AZ49&lt;&gt;"",IF(ISNA(VLOOKUP($N49,OFFSET(選手情報!$A$6:$M$119,AZ49,0),13,FALSE)),"","/"&amp;VLOOKUP($N49,OFFSET(選手情報!$A$6:$M$119,AZ49,0),13,FALSE)),"")</f>
        <v/>
      </c>
      <c r="BB49" s="127" t="str">
        <f ca="1">IF(AZ49&lt;&gt;"",IF(ISNA(VLOOKUP($N49,OFFSET(選手情報!$A$6:$BD$119,AZ49,0),56,FALSE)),"",VLOOKUP($N49,OFFSET(選手情報!$A$6:$BD$119,AZ49,0),56,FALSE)),"")</f>
        <v/>
      </c>
      <c r="BC49" s="127" t="str">
        <f ca="1">IF(BB49&lt;&gt;"",IF(ISNA(VLOOKUP($N49,OFFSET(選手情報!$A$6:$M$119,BB49,0),13,FALSE)),"","/"&amp;VLOOKUP($N49,OFFSET(選手情報!$A$6:$M$119,BB49,0),13,FALSE)),"")</f>
        <v/>
      </c>
      <c r="BD49" s="127" t="str">
        <f ca="1">IF(BB49&lt;&gt;"",IF(ISNA(VLOOKUP($N49,OFFSET(選手情報!$A$6:$BD$119,BB49,0),56,FALSE)),"",VLOOKUP($N49,OFFSET(選手情報!$A$6:$BD$119,BB49,0),56,FALSE)),"")</f>
        <v/>
      </c>
      <c r="BE49" s="127" t="str">
        <f ca="1">IF(BD49&lt;&gt;"",IF(ISNA(VLOOKUP($N49,OFFSET(選手情報!$A$6:$M$119,BD49,0),13,FALSE)),"","/"&amp;VLOOKUP($N49,OFFSET(選手情報!$A$6:$M$119,BD49,0),13,FALSE)),"")</f>
        <v/>
      </c>
      <c r="BF49" s="127" t="str">
        <f ca="1">IF(BD49&lt;&gt;"",IF(ISNA(VLOOKUP($N49,OFFSET(選手情報!$A$6:$BD$119,BD49,0),56,FALSE)),"",VLOOKUP($N49,OFFSET(選手情報!$A$6:$BD$119,BD49,0),56,FALSE)),"")</f>
        <v/>
      </c>
      <c r="BG49" s="127" t="str">
        <f ca="1">IF(BF49&lt;&gt;"",IF(ISNA(VLOOKUP($N49,OFFSET(選手情報!$A$6:$M$119,BF49,0),13,FALSE)),"","/"&amp;VLOOKUP($N49,OFFSET(選手情報!$A$6:$M$119,BF49,0),13,FALSE)),"")</f>
        <v/>
      </c>
      <c r="BH49" s="127" t="str">
        <f ca="1">IF(BF49&lt;&gt;"",IF(ISNA(VLOOKUP($N49,OFFSET(選手情報!$A$6:$BD$119,BF49,0),56,FALSE)),"",VLOOKUP($N49,OFFSET(選手情報!$A$6:$BD$119,BF49,0),56,FALSE)),"")</f>
        <v/>
      </c>
      <c r="BI49" s="127" t="str">
        <f ca="1">IF(BH49&lt;&gt;"",IF(ISNA(VLOOKUP($N49,OFFSET(選手情報!$A$6:$M$119,BH49,0),13,FALSE)),"","/"&amp;VLOOKUP($N49,OFFSET(選手情報!$A$6:$M$119,BH49,0),13,FALSE)),"")</f>
        <v/>
      </c>
    </row>
    <row r="50" spans="1:61" s="127" customFormat="1" ht="12.6" customHeight="1">
      <c r="A50" s="128" t="str">
        <f>IF(ISNA(VLOOKUP($C$2&amp;N50,選手データ!A:H,3,FALSE)),"",IF(M50&lt;&gt;M49,VLOOKUP($C$2&amp;N50,選手データ!A:H,3,FALSE),""))</f>
        <v/>
      </c>
      <c r="B50" s="129" t="str">
        <f>IF(A50&lt;&gt;"",VLOOKUP($C$2&amp;N50,選手データ!A:H,4,FALSE),"")</f>
        <v/>
      </c>
      <c r="C50" s="129" t="str">
        <f>IF(A50&lt;&gt;"",VLOOKUP($C$2&amp;N50,選手データ!A:H,5,FALSE),"")</f>
        <v/>
      </c>
      <c r="D50" s="129" t="str">
        <f>IF(A50&lt;&gt;"",VLOOKUP($C$2&amp;N50,選手データ!A:H,6,FALSE),"")</f>
        <v/>
      </c>
      <c r="E50" s="129" t="str">
        <f>IF(A50&lt;&gt;"",VLOOKUP($C$2&amp;N50,選手データ!A:H,7,FALSE),"")</f>
        <v/>
      </c>
      <c r="F50" s="130" t="str">
        <f>IF(A50&lt;&gt;"",VLOOKUP($C$2&amp;N50,選手データ!A:H,8,FALSE),"")</f>
        <v/>
      </c>
      <c r="G50" s="130" t="str">
        <f>IF(F50&lt;&gt;"",IF(DATEDIF(F50,設定!$B$12,"Y")&lt;20,"〇",""),"")</f>
        <v/>
      </c>
      <c r="H50" s="131" t="str">
        <f t="shared" ca="1" si="0"/>
        <v/>
      </c>
      <c r="I50" s="132" t="str">
        <f t="shared" ca="1" si="1"/>
        <v/>
      </c>
      <c r="J50" s="131" t="str">
        <f t="shared" ca="1" si="2"/>
        <v/>
      </c>
      <c r="K50" s="130" t="str">
        <f>IF(A50&lt;&gt;"",IF(COUNTIF(リレーチーム情報!$B$5:$B$10,A50&amp;E50)=1,"〇",""),"")</f>
        <v/>
      </c>
      <c r="L50" s="133" t="str">
        <f>IF(A50&lt;&gt;"",IF(COUNTIF(リレーチーム情報!$B$11:$B$16,A50&amp;E50)=1,"〇",""),"")</f>
        <v/>
      </c>
      <c r="M50" s="127">
        <f>IF(学校情報!$A$4&lt;&gt;"",0,IF(S49=0,MAX($M$37:M49)+1,M49))</f>
        <v>0</v>
      </c>
      <c r="N50" s="127" t="str">
        <f>IF(M50&lt;&gt;0,VLOOKUP(M50,選手情報!BF:BG,2,FALSE),"")</f>
        <v/>
      </c>
      <c r="O50" s="127" t="str">
        <f ca="1">IF(M50&lt;&gt;0,VLOOKUP(N50,OFFSET(選手情報!$A$6:$W$119,IF(M50&lt;&gt;M49,0,R49),0),13,FALSE),"")</f>
        <v/>
      </c>
      <c r="P50" s="127" t="str">
        <f ca="1">IF(M50&lt;&gt;0,VLOOKUP(N50,OFFSET(選手情報!$A$6:$W$119,IF(M50&lt;&gt;M49,0,R49),0),16,FALSE),"")</f>
        <v/>
      </c>
      <c r="Q50" s="127" t="str">
        <f ca="1">IF(M50&lt;&gt;0,VLOOKUP(N50,OFFSET(選手情報!$A$6:$W$119,IF(M50&lt;&gt;M49,0,R49),0),21,FALSE),"")</f>
        <v/>
      </c>
      <c r="R50" s="127">
        <f ca="1">IF(M50&lt;&gt;0,VLOOKUP(N50,OFFSET(選手情報!$A$6:$BD$119,IF(M50&lt;&gt;M49,0,R49),0),56,FALSE),0)</f>
        <v>0</v>
      </c>
      <c r="S50" s="127">
        <f ca="1">IF(M50&lt;&gt;0,IF(ISNA(R50),0,COUNTIF(OFFSET(選手情報!$A$6:$A$119,R50,0),N50)),0)</f>
        <v>0</v>
      </c>
      <c r="U50" s="127">
        <f t="shared" si="3"/>
        <v>0</v>
      </c>
      <c r="V50" s="127">
        <f t="shared" ca="1" si="4"/>
        <v>1</v>
      </c>
      <c r="W50" s="127">
        <f t="shared" ca="1" si="5"/>
        <v>0</v>
      </c>
      <c r="X50" s="127" t="str">
        <f t="shared" ca="1" si="6"/>
        <v/>
      </c>
      <c r="Y50" s="127" t="str">
        <f>IF($A50&lt;&gt;"",IF(ISNA(VLOOKUP($N50,選手情報!$A$6:$M$119,13,FALSE)),"","/"&amp;VLOOKUP($N50,選手情報!$A$6:$M$119,13,FALSE)),"")</f>
        <v/>
      </c>
      <c r="Z50" s="127" t="str">
        <f ca="1">IF(Y50&lt;&gt;"",IF(ISNA(VLOOKUP($N50,OFFSET(選手情報!$A$6:$BD$119,0,0),56,FALSE)),"",VLOOKUP($N50,OFFSET(選手情報!$A$6:$BD$119,0,0),56,FALSE)),"")</f>
        <v/>
      </c>
      <c r="AA50" s="127" t="str">
        <f ca="1">IF(Z50&lt;&gt;"",IF(ISNA(VLOOKUP($N50,OFFSET(選手情報!$A$6:$M$119,Z50,0),13,FALSE)),"","/"&amp;VLOOKUP($N50,OFFSET(選手情報!$A$6:$M$119,Z50,0),13,FALSE)),"")</f>
        <v/>
      </c>
      <c r="AB50" s="127" t="str">
        <f ca="1">IF(Z50&lt;&gt;"",IF(ISNA(VLOOKUP($N50,OFFSET(選手情報!$A$6:$BD$119,Z50,0),56,FALSE)),"",VLOOKUP($N50,OFFSET(選手情報!$A$6:$BD$119,Z50,0),56,FALSE)),"")</f>
        <v/>
      </c>
      <c r="AC50" s="127" t="str">
        <f ca="1">IF(AB50&lt;&gt;"",IF(ISNA(VLOOKUP($N50,OFFSET(選手情報!$A$6:$M$119,AB50,0),13,FALSE)),"","/"&amp;VLOOKUP($N50,OFFSET(選手情報!$A$6:$M$119,AB50,0),13,FALSE)),"")</f>
        <v/>
      </c>
      <c r="AD50" s="127" t="str">
        <f ca="1">IF(AB50&lt;&gt;"",IF(ISNA(VLOOKUP($N50,OFFSET(選手情報!$A$6:$BD$119,AB50,0),56,FALSE)),"",VLOOKUP($N50,OFFSET(選手情報!$A$6:$BD$119,AB50,0),56,FALSE)),"")</f>
        <v/>
      </c>
      <c r="AE50" s="127" t="str">
        <f ca="1">IF(AD50&lt;&gt;"",IF(ISNA(VLOOKUP($N50,OFFSET(選手情報!$A$6:$M$119,AD50,0),13,FALSE)),"","/"&amp;VLOOKUP($N50,OFFSET(選手情報!$A$6:$M$119,AD50,0),13,FALSE)),"")</f>
        <v/>
      </c>
      <c r="AF50" s="127" t="str">
        <f ca="1">IF(AD50&lt;&gt;"",IF(ISNA(VLOOKUP($N50,OFFSET(選手情報!$A$6:$BD$119,AD50,0),56,FALSE)),"",VLOOKUP($N50,OFFSET(選手情報!$A$6:$BD$119,AD50,0),56,FALSE)),"")</f>
        <v/>
      </c>
      <c r="AG50" s="127" t="str">
        <f ca="1">IF(AF50&lt;&gt;"",IF(ISNA(VLOOKUP($N50,OFFSET(選手情報!$A$6:$M$119,AF50,0),13,FALSE)),"","/"&amp;VLOOKUP($N50,OFFSET(選手情報!$A$6:$M$119,AF50,0),13,FALSE)),"")</f>
        <v/>
      </c>
      <c r="AH50" s="127" t="str">
        <f ca="1">IF(AF50&lt;&gt;"",IF(ISNA(VLOOKUP($N50,OFFSET(選手情報!$A$6:$BD$119,AF50,0),56,FALSE)),"",VLOOKUP($N50,OFFSET(選手情報!$A$6:$BD$119,AF50,0),56,FALSE)),"")</f>
        <v/>
      </c>
      <c r="AI50" s="127" t="str">
        <f ca="1">IF(AH50&lt;&gt;"",IF(ISNA(VLOOKUP($N50,OFFSET(選手情報!$A$6:$M$119,AH50,0),13,FALSE)),"","/"&amp;VLOOKUP($N50,OFFSET(選手情報!$A$6:$M$119,AH50,0),13,FALSE)),"")</f>
        <v/>
      </c>
      <c r="AJ50" s="127" t="str">
        <f ca="1">IF(AH50&lt;&gt;"",IF(ISNA(VLOOKUP($N50,OFFSET(選手情報!$A$6:$BD$119,AH50,0),56,FALSE)),"",VLOOKUP($N50,OFFSET(選手情報!$A$6:$BD$119,AH50,0),56,FALSE)),"")</f>
        <v/>
      </c>
      <c r="AK50" s="127" t="str">
        <f ca="1">IF(AJ50&lt;&gt;"",IF(ISNA(VLOOKUP($N50,OFFSET(選手情報!$A$6:$M$119,AJ50,0),13,FALSE)),"","/"&amp;VLOOKUP($N50,OFFSET(選手情報!$A$6:$M$119,AJ50,0),13,FALSE)),"")</f>
        <v/>
      </c>
      <c r="AL50" s="127" t="str">
        <f ca="1">IF(AJ50&lt;&gt;"",IF(ISNA(VLOOKUP($N50,OFFSET(選手情報!$A$6:$BD$119,AJ50,0),56,FALSE)),"",VLOOKUP($N50,OFFSET(選手情報!$A$6:$BD$119,AJ50,0),56,FALSE)),"")</f>
        <v/>
      </c>
      <c r="AM50" s="127" t="str">
        <f ca="1">IF(AL50&lt;&gt;"",IF(ISNA(VLOOKUP($N50,OFFSET(選手情報!$A$6:$M$119,AL50,0),13,FALSE)),"","/"&amp;VLOOKUP($N50,OFFSET(選手情報!$A$6:$M$119,AL50,0),13,FALSE)),"")</f>
        <v/>
      </c>
      <c r="AN50" s="127" t="str">
        <f ca="1">IF(AL50&lt;&gt;"",IF(ISNA(VLOOKUP($N50,OFFSET(選手情報!$A$6:$BD$119,AL50,0),56,FALSE)),"",VLOOKUP($N50,OFFSET(選手情報!$A$6:$BD$119,AL50,0),56,FALSE)),"")</f>
        <v/>
      </c>
      <c r="AO50" s="127" t="str">
        <f ca="1">IF(AN50&lt;&gt;"",IF(ISNA(VLOOKUP($N50,OFFSET(選手情報!$A$6:$M$119,AN50,0),13,FALSE)),"","/"&amp;VLOOKUP($N50,OFFSET(選手情報!$A$6:$M$119,AN50,0),13,FALSE)),"")</f>
        <v/>
      </c>
      <c r="AP50" s="127" t="str">
        <f ca="1">IF(AN50&lt;&gt;"",IF(ISNA(VLOOKUP($N50,OFFSET(選手情報!$A$6:$BD$119,AN50,0),56,FALSE)),"",VLOOKUP($N50,OFFSET(選手情報!$A$6:$BD$119,AN50,0),56,FALSE)),"")</f>
        <v/>
      </c>
      <c r="AQ50" s="127" t="str">
        <f ca="1">IF(AP50&lt;&gt;"",IF(ISNA(VLOOKUP($N50,OFFSET(選手情報!$A$6:$M$119,AP50,0),13,FALSE)),"","/"&amp;VLOOKUP($N50,OFFSET(選手情報!$A$6:$M$119,AP50,0),13,FALSE)),"")</f>
        <v/>
      </c>
      <c r="AR50" s="127" t="str">
        <f ca="1">IF(AP50&lt;&gt;"",IF(ISNA(VLOOKUP($N50,OFFSET(選手情報!$A$6:$BD$119,AP50,0),56,FALSE)),"",VLOOKUP($N50,OFFSET(選手情報!$A$6:$BD$119,AP50,0),56,FALSE)),"")</f>
        <v/>
      </c>
      <c r="AS50" s="127" t="str">
        <f ca="1">IF(AR50&lt;&gt;"",IF(ISNA(VLOOKUP($N50,OFFSET(選手情報!$A$6:$M$119,AR50,0),13,FALSE)),"","/"&amp;VLOOKUP($N50,OFFSET(選手情報!$A$6:$M$119,AR50,0),13,FALSE)),"")</f>
        <v/>
      </c>
      <c r="AT50" s="127" t="str">
        <f ca="1">IF(AR50&lt;&gt;"",IF(ISNA(VLOOKUP($N50,OFFSET(選手情報!$A$6:$BD$119,AR50,0),56,FALSE)),"",VLOOKUP($N50,OFFSET(選手情報!$A$6:$BD$119,AR50,0),56,FALSE)),"")</f>
        <v/>
      </c>
      <c r="AU50" s="127" t="str">
        <f ca="1">IF(AT50&lt;&gt;"",IF(ISNA(VLOOKUP($N50,OFFSET(選手情報!$A$6:$M$119,AT50,0),13,FALSE)),"","/"&amp;VLOOKUP($N50,OFFSET(選手情報!$A$6:$M$119,AT50,0),13,FALSE)),"")</f>
        <v/>
      </c>
      <c r="AV50" s="127" t="str">
        <f ca="1">IF(AT50&lt;&gt;"",IF(ISNA(VLOOKUP($N50,OFFSET(選手情報!$A$6:$BD$119,AT50,0),56,FALSE)),"",VLOOKUP($N50,OFFSET(選手情報!$A$6:$BD$119,AT50,0),56,FALSE)),"")</f>
        <v/>
      </c>
      <c r="AW50" s="127" t="str">
        <f ca="1">IF(AV50&lt;&gt;"",IF(ISNA(VLOOKUP($N50,OFFSET(選手情報!$A$6:$M$119,AV50,0),13,FALSE)),"","/"&amp;VLOOKUP($N50,OFFSET(選手情報!$A$6:$M$119,AV50,0),13,FALSE)),"")</f>
        <v/>
      </c>
      <c r="AX50" s="127" t="str">
        <f ca="1">IF(AV50&lt;&gt;"",IF(ISNA(VLOOKUP($N50,OFFSET(選手情報!$A$6:$BD$119,AV50,0),56,FALSE)),"",VLOOKUP($N50,OFFSET(選手情報!$A$6:$BD$119,AV50,0),56,FALSE)),"")</f>
        <v/>
      </c>
      <c r="AY50" s="127" t="str">
        <f ca="1">IF(AX50&lt;&gt;"",IF(ISNA(VLOOKUP($N50,OFFSET(選手情報!$A$6:$M$119,AX50,0),13,FALSE)),"","/"&amp;VLOOKUP($N50,OFFSET(選手情報!$A$6:$M$119,AX50,0),13,FALSE)),"")</f>
        <v/>
      </c>
      <c r="AZ50" s="127" t="str">
        <f ca="1">IF(AX50&lt;&gt;"",IF(ISNA(VLOOKUP($N50,OFFSET(選手情報!$A$6:$BD$119,AX50,0),56,FALSE)),"",VLOOKUP($N50,OFFSET(選手情報!$A$6:$BD$119,AX50,0),56,FALSE)),"")</f>
        <v/>
      </c>
      <c r="BA50" s="127" t="str">
        <f ca="1">IF(AZ50&lt;&gt;"",IF(ISNA(VLOOKUP($N50,OFFSET(選手情報!$A$6:$M$119,AZ50,0),13,FALSE)),"","/"&amp;VLOOKUP($N50,OFFSET(選手情報!$A$6:$M$119,AZ50,0),13,FALSE)),"")</f>
        <v/>
      </c>
      <c r="BB50" s="127" t="str">
        <f ca="1">IF(AZ50&lt;&gt;"",IF(ISNA(VLOOKUP($N50,OFFSET(選手情報!$A$6:$BD$119,AZ50,0),56,FALSE)),"",VLOOKUP($N50,OFFSET(選手情報!$A$6:$BD$119,AZ50,0),56,FALSE)),"")</f>
        <v/>
      </c>
      <c r="BC50" s="127" t="str">
        <f ca="1">IF(BB50&lt;&gt;"",IF(ISNA(VLOOKUP($N50,OFFSET(選手情報!$A$6:$M$119,BB50,0),13,FALSE)),"","/"&amp;VLOOKUP($N50,OFFSET(選手情報!$A$6:$M$119,BB50,0),13,FALSE)),"")</f>
        <v/>
      </c>
      <c r="BD50" s="127" t="str">
        <f ca="1">IF(BB50&lt;&gt;"",IF(ISNA(VLOOKUP($N50,OFFSET(選手情報!$A$6:$BD$119,BB50,0),56,FALSE)),"",VLOOKUP($N50,OFFSET(選手情報!$A$6:$BD$119,BB50,0),56,FALSE)),"")</f>
        <v/>
      </c>
      <c r="BE50" s="127" t="str">
        <f ca="1">IF(BD50&lt;&gt;"",IF(ISNA(VLOOKUP($N50,OFFSET(選手情報!$A$6:$M$119,BD50,0),13,FALSE)),"","/"&amp;VLOOKUP($N50,OFFSET(選手情報!$A$6:$M$119,BD50,0),13,FALSE)),"")</f>
        <v/>
      </c>
      <c r="BF50" s="127" t="str">
        <f ca="1">IF(BD50&lt;&gt;"",IF(ISNA(VLOOKUP($N50,OFFSET(選手情報!$A$6:$BD$119,BD50,0),56,FALSE)),"",VLOOKUP($N50,OFFSET(選手情報!$A$6:$BD$119,BD50,0),56,FALSE)),"")</f>
        <v/>
      </c>
      <c r="BG50" s="127" t="str">
        <f ca="1">IF(BF50&lt;&gt;"",IF(ISNA(VLOOKUP($N50,OFFSET(選手情報!$A$6:$M$119,BF50,0),13,FALSE)),"","/"&amp;VLOOKUP($N50,OFFSET(選手情報!$A$6:$M$119,BF50,0),13,FALSE)),"")</f>
        <v/>
      </c>
      <c r="BH50" s="127" t="str">
        <f ca="1">IF(BF50&lt;&gt;"",IF(ISNA(VLOOKUP($N50,OFFSET(選手情報!$A$6:$BD$119,BF50,0),56,FALSE)),"",VLOOKUP($N50,OFFSET(選手情報!$A$6:$BD$119,BF50,0),56,FALSE)),"")</f>
        <v/>
      </c>
      <c r="BI50" s="127" t="str">
        <f ca="1">IF(BH50&lt;&gt;"",IF(ISNA(VLOOKUP($N50,OFFSET(選手情報!$A$6:$M$119,BH50,0),13,FALSE)),"","/"&amp;VLOOKUP($N50,OFFSET(選手情報!$A$6:$M$119,BH50,0),13,FALSE)),"")</f>
        <v/>
      </c>
    </row>
    <row r="51" spans="1:61" s="127" customFormat="1" ht="12.6" customHeight="1">
      <c r="A51" s="128" t="str">
        <f>IF(ISNA(VLOOKUP($C$2&amp;N51,選手データ!A:H,3,FALSE)),"",IF(M51&lt;&gt;M50,VLOOKUP($C$2&amp;N51,選手データ!A:H,3,FALSE),""))</f>
        <v/>
      </c>
      <c r="B51" s="129" t="str">
        <f>IF(A51&lt;&gt;"",VLOOKUP($C$2&amp;N51,選手データ!A:H,4,FALSE),"")</f>
        <v/>
      </c>
      <c r="C51" s="129" t="str">
        <f>IF(A51&lt;&gt;"",VLOOKUP($C$2&amp;N51,選手データ!A:H,5,FALSE),"")</f>
        <v/>
      </c>
      <c r="D51" s="129" t="str">
        <f>IF(A51&lt;&gt;"",VLOOKUP($C$2&amp;N51,選手データ!A:H,6,FALSE),"")</f>
        <v/>
      </c>
      <c r="E51" s="129" t="str">
        <f>IF(A51&lt;&gt;"",VLOOKUP($C$2&amp;N51,選手データ!A:H,7,FALSE),"")</f>
        <v/>
      </c>
      <c r="F51" s="130" t="str">
        <f>IF(A51&lt;&gt;"",VLOOKUP($C$2&amp;N51,選手データ!A:H,8,FALSE),"")</f>
        <v/>
      </c>
      <c r="G51" s="130" t="str">
        <f>IF(F51&lt;&gt;"",IF(DATEDIF(F51,設定!$B$12,"Y")&lt;20,"〇",""),"")</f>
        <v/>
      </c>
      <c r="H51" s="131" t="str">
        <f t="shared" ca="1" si="0"/>
        <v/>
      </c>
      <c r="I51" s="132" t="str">
        <f t="shared" ca="1" si="1"/>
        <v/>
      </c>
      <c r="J51" s="131" t="str">
        <f t="shared" ca="1" si="2"/>
        <v/>
      </c>
      <c r="K51" s="130" t="str">
        <f>IF(A51&lt;&gt;"",IF(COUNTIF(リレーチーム情報!$B$5:$B$10,A51&amp;E51)=1,"〇",""),"")</f>
        <v/>
      </c>
      <c r="L51" s="133" t="str">
        <f>IF(A51&lt;&gt;"",IF(COUNTIF(リレーチーム情報!$B$11:$B$16,A51&amp;E51)=1,"〇",""),"")</f>
        <v/>
      </c>
      <c r="M51" s="127">
        <f>IF(学校情報!$A$4&lt;&gt;"",0,IF(S50=0,MAX($M$37:M50)+1,M50))</f>
        <v>0</v>
      </c>
      <c r="N51" s="127" t="str">
        <f>IF(M51&lt;&gt;0,VLOOKUP(M51,選手情報!BF:BG,2,FALSE),"")</f>
        <v/>
      </c>
      <c r="O51" s="127" t="str">
        <f ca="1">IF(M51&lt;&gt;0,VLOOKUP(N51,OFFSET(選手情報!$A$6:$W$119,IF(M51&lt;&gt;M50,0,R50),0),13,FALSE),"")</f>
        <v/>
      </c>
      <c r="P51" s="127" t="str">
        <f ca="1">IF(M51&lt;&gt;0,VLOOKUP(N51,OFFSET(選手情報!$A$6:$W$119,IF(M51&lt;&gt;M50,0,R50),0),16,FALSE),"")</f>
        <v/>
      </c>
      <c r="Q51" s="127" t="str">
        <f ca="1">IF(M51&lt;&gt;0,VLOOKUP(N51,OFFSET(選手情報!$A$6:$W$119,IF(M51&lt;&gt;M50,0,R50),0),21,FALSE),"")</f>
        <v/>
      </c>
      <c r="R51" s="127">
        <f ca="1">IF(M51&lt;&gt;0,VLOOKUP(N51,OFFSET(選手情報!$A$6:$BD$119,IF(M51&lt;&gt;M50,0,R50),0),56,FALSE),0)</f>
        <v>0</v>
      </c>
      <c r="S51" s="127">
        <f ca="1">IF(M51&lt;&gt;0,IF(ISNA(R51),0,COUNTIF(OFFSET(選手情報!$A$6:$A$119,R51,0),N51)),0)</f>
        <v>0</v>
      </c>
      <c r="U51" s="127">
        <f t="shared" si="3"/>
        <v>0</v>
      </c>
      <c r="V51" s="127">
        <f t="shared" ca="1" si="4"/>
        <v>1</v>
      </c>
      <c r="W51" s="127">
        <f t="shared" ca="1" si="5"/>
        <v>0</v>
      </c>
      <c r="X51" s="127" t="str">
        <f t="shared" ca="1" si="6"/>
        <v/>
      </c>
      <c r="Y51" s="127" t="str">
        <f>IF($A51&lt;&gt;"",IF(ISNA(VLOOKUP($N51,選手情報!$A$6:$M$119,13,FALSE)),"","/"&amp;VLOOKUP($N51,選手情報!$A$6:$M$119,13,FALSE)),"")</f>
        <v/>
      </c>
      <c r="Z51" s="127" t="str">
        <f ca="1">IF(Y51&lt;&gt;"",IF(ISNA(VLOOKUP($N51,OFFSET(選手情報!$A$6:$BD$119,0,0),56,FALSE)),"",VLOOKUP($N51,OFFSET(選手情報!$A$6:$BD$119,0,0),56,FALSE)),"")</f>
        <v/>
      </c>
      <c r="AA51" s="127" t="str">
        <f ca="1">IF(Z51&lt;&gt;"",IF(ISNA(VLOOKUP($N51,OFFSET(選手情報!$A$6:$M$119,Z51,0),13,FALSE)),"","/"&amp;VLOOKUP($N51,OFFSET(選手情報!$A$6:$M$119,Z51,0),13,FALSE)),"")</f>
        <v/>
      </c>
      <c r="AB51" s="127" t="str">
        <f ca="1">IF(Z51&lt;&gt;"",IF(ISNA(VLOOKUP($N51,OFFSET(選手情報!$A$6:$BD$119,Z51,0),56,FALSE)),"",VLOOKUP($N51,OFFSET(選手情報!$A$6:$BD$119,Z51,0),56,FALSE)),"")</f>
        <v/>
      </c>
      <c r="AC51" s="127" t="str">
        <f ca="1">IF(AB51&lt;&gt;"",IF(ISNA(VLOOKUP($N51,OFFSET(選手情報!$A$6:$M$119,AB51,0),13,FALSE)),"","/"&amp;VLOOKUP($N51,OFFSET(選手情報!$A$6:$M$119,AB51,0),13,FALSE)),"")</f>
        <v/>
      </c>
      <c r="AD51" s="127" t="str">
        <f ca="1">IF(AB51&lt;&gt;"",IF(ISNA(VLOOKUP($N51,OFFSET(選手情報!$A$6:$BD$119,AB51,0),56,FALSE)),"",VLOOKUP($N51,OFFSET(選手情報!$A$6:$BD$119,AB51,0),56,FALSE)),"")</f>
        <v/>
      </c>
      <c r="AE51" s="127" t="str">
        <f ca="1">IF(AD51&lt;&gt;"",IF(ISNA(VLOOKUP($N51,OFFSET(選手情報!$A$6:$M$119,AD51,0),13,FALSE)),"","/"&amp;VLOOKUP($N51,OFFSET(選手情報!$A$6:$M$119,AD51,0),13,FALSE)),"")</f>
        <v/>
      </c>
      <c r="AF51" s="127" t="str">
        <f ca="1">IF(AD51&lt;&gt;"",IF(ISNA(VLOOKUP($N51,OFFSET(選手情報!$A$6:$BD$119,AD51,0),56,FALSE)),"",VLOOKUP($N51,OFFSET(選手情報!$A$6:$BD$119,AD51,0),56,FALSE)),"")</f>
        <v/>
      </c>
      <c r="AG51" s="127" t="str">
        <f ca="1">IF(AF51&lt;&gt;"",IF(ISNA(VLOOKUP($N51,OFFSET(選手情報!$A$6:$M$119,AF51,0),13,FALSE)),"","/"&amp;VLOOKUP($N51,OFFSET(選手情報!$A$6:$M$119,AF51,0),13,FALSE)),"")</f>
        <v/>
      </c>
      <c r="AH51" s="127" t="str">
        <f ca="1">IF(AF51&lt;&gt;"",IF(ISNA(VLOOKUP($N51,OFFSET(選手情報!$A$6:$BD$119,AF51,0),56,FALSE)),"",VLOOKUP($N51,OFFSET(選手情報!$A$6:$BD$119,AF51,0),56,FALSE)),"")</f>
        <v/>
      </c>
      <c r="AI51" s="127" t="str">
        <f ca="1">IF(AH51&lt;&gt;"",IF(ISNA(VLOOKUP($N51,OFFSET(選手情報!$A$6:$M$119,AH51,0),13,FALSE)),"","/"&amp;VLOOKUP($N51,OFFSET(選手情報!$A$6:$M$119,AH51,0),13,FALSE)),"")</f>
        <v/>
      </c>
      <c r="AJ51" s="127" t="str">
        <f ca="1">IF(AH51&lt;&gt;"",IF(ISNA(VLOOKUP($N51,OFFSET(選手情報!$A$6:$BD$119,AH51,0),56,FALSE)),"",VLOOKUP($N51,OFFSET(選手情報!$A$6:$BD$119,AH51,0),56,FALSE)),"")</f>
        <v/>
      </c>
      <c r="AK51" s="127" t="str">
        <f ca="1">IF(AJ51&lt;&gt;"",IF(ISNA(VLOOKUP($N51,OFFSET(選手情報!$A$6:$M$119,AJ51,0),13,FALSE)),"","/"&amp;VLOOKUP($N51,OFFSET(選手情報!$A$6:$M$119,AJ51,0),13,FALSE)),"")</f>
        <v/>
      </c>
      <c r="AL51" s="127" t="str">
        <f ca="1">IF(AJ51&lt;&gt;"",IF(ISNA(VLOOKUP($N51,OFFSET(選手情報!$A$6:$BD$119,AJ51,0),56,FALSE)),"",VLOOKUP($N51,OFFSET(選手情報!$A$6:$BD$119,AJ51,0),56,FALSE)),"")</f>
        <v/>
      </c>
      <c r="AM51" s="127" t="str">
        <f ca="1">IF(AL51&lt;&gt;"",IF(ISNA(VLOOKUP($N51,OFFSET(選手情報!$A$6:$M$119,AL51,0),13,FALSE)),"","/"&amp;VLOOKUP($N51,OFFSET(選手情報!$A$6:$M$119,AL51,0),13,FALSE)),"")</f>
        <v/>
      </c>
      <c r="AN51" s="127" t="str">
        <f ca="1">IF(AL51&lt;&gt;"",IF(ISNA(VLOOKUP($N51,OFFSET(選手情報!$A$6:$BD$119,AL51,0),56,FALSE)),"",VLOOKUP($N51,OFFSET(選手情報!$A$6:$BD$119,AL51,0),56,FALSE)),"")</f>
        <v/>
      </c>
      <c r="AO51" s="127" t="str">
        <f ca="1">IF(AN51&lt;&gt;"",IF(ISNA(VLOOKUP($N51,OFFSET(選手情報!$A$6:$M$119,AN51,0),13,FALSE)),"","/"&amp;VLOOKUP($N51,OFFSET(選手情報!$A$6:$M$119,AN51,0),13,FALSE)),"")</f>
        <v/>
      </c>
      <c r="AP51" s="127" t="str">
        <f ca="1">IF(AN51&lt;&gt;"",IF(ISNA(VLOOKUP($N51,OFFSET(選手情報!$A$6:$BD$119,AN51,0),56,FALSE)),"",VLOOKUP($N51,OFFSET(選手情報!$A$6:$BD$119,AN51,0),56,FALSE)),"")</f>
        <v/>
      </c>
      <c r="AQ51" s="127" t="str">
        <f ca="1">IF(AP51&lt;&gt;"",IF(ISNA(VLOOKUP($N51,OFFSET(選手情報!$A$6:$M$119,AP51,0),13,FALSE)),"","/"&amp;VLOOKUP($N51,OFFSET(選手情報!$A$6:$M$119,AP51,0),13,FALSE)),"")</f>
        <v/>
      </c>
      <c r="AR51" s="127" t="str">
        <f ca="1">IF(AP51&lt;&gt;"",IF(ISNA(VLOOKUP($N51,OFFSET(選手情報!$A$6:$BD$119,AP51,0),56,FALSE)),"",VLOOKUP($N51,OFFSET(選手情報!$A$6:$BD$119,AP51,0),56,FALSE)),"")</f>
        <v/>
      </c>
      <c r="AS51" s="127" t="str">
        <f ca="1">IF(AR51&lt;&gt;"",IF(ISNA(VLOOKUP($N51,OFFSET(選手情報!$A$6:$M$119,AR51,0),13,FALSE)),"","/"&amp;VLOOKUP($N51,OFFSET(選手情報!$A$6:$M$119,AR51,0),13,FALSE)),"")</f>
        <v/>
      </c>
      <c r="AT51" s="127" t="str">
        <f ca="1">IF(AR51&lt;&gt;"",IF(ISNA(VLOOKUP($N51,OFFSET(選手情報!$A$6:$BD$119,AR51,0),56,FALSE)),"",VLOOKUP($N51,OFFSET(選手情報!$A$6:$BD$119,AR51,0),56,FALSE)),"")</f>
        <v/>
      </c>
      <c r="AU51" s="127" t="str">
        <f ca="1">IF(AT51&lt;&gt;"",IF(ISNA(VLOOKUP($N51,OFFSET(選手情報!$A$6:$M$119,AT51,0),13,FALSE)),"","/"&amp;VLOOKUP($N51,OFFSET(選手情報!$A$6:$M$119,AT51,0),13,FALSE)),"")</f>
        <v/>
      </c>
      <c r="AV51" s="127" t="str">
        <f ca="1">IF(AT51&lt;&gt;"",IF(ISNA(VLOOKUP($N51,OFFSET(選手情報!$A$6:$BD$119,AT51,0),56,FALSE)),"",VLOOKUP($N51,OFFSET(選手情報!$A$6:$BD$119,AT51,0),56,FALSE)),"")</f>
        <v/>
      </c>
      <c r="AW51" s="127" t="str">
        <f ca="1">IF(AV51&lt;&gt;"",IF(ISNA(VLOOKUP($N51,OFFSET(選手情報!$A$6:$M$119,AV51,0),13,FALSE)),"","/"&amp;VLOOKUP($N51,OFFSET(選手情報!$A$6:$M$119,AV51,0),13,FALSE)),"")</f>
        <v/>
      </c>
      <c r="AX51" s="127" t="str">
        <f ca="1">IF(AV51&lt;&gt;"",IF(ISNA(VLOOKUP($N51,OFFSET(選手情報!$A$6:$BD$119,AV51,0),56,FALSE)),"",VLOOKUP($N51,OFFSET(選手情報!$A$6:$BD$119,AV51,0),56,FALSE)),"")</f>
        <v/>
      </c>
      <c r="AY51" s="127" t="str">
        <f ca="1">IF(AX51&lt;&gt;"",IF(ISNA(VLOOKUP($N51,OFFSET(選手情報!$A$6:$M$119,AX51,0),13,FALSE)),"","/"&amp;VLOOKUP($N51,OFFSET(選手情報!$A$6:$M$119,AX51,0),13,FALSE)),"")</f>
        <v/>
      </c>
      <c r="AZ51" s="127" t="str">
        <f ca="1">IF(AX51&lt;&gt;"",IF(ISNA(VLOOKUP($N51,OFFSET(選手情報!$A$6:$BD$119,AX51,0),56,FALSE)),"",VLOOKUP($N51,OFFSET(選手情報!$A$6:$BD$119,AX51,0),56,FALSE)),"")</f>
        <v/>
      </c>
      <c r="BA51" s="127" t="str">
        <f ca="1">IF(AZ51&lt;&gt;"",IF(ISNA(VLOOKUP($N51,OFFSET(選手情報!$A$6:$M$119,AZ51,0),13,FALSE)),"","/"&amp;VLOOKUP($N51,OFFSET(選手情報!$A$6:$M$119,AZ51,0),13,FALSE)),"")</f>
        <v/>
      </c>
      <c r="BB51" s="127" t="str">
        <f ca="1">IF(AZ51&lt;&gt;"",IF(ISNA(VLOOKUP($N51,OFFSET(選手情報!$A$6:$BD$119,AZ51,0),56,FALSE)),"",VLOOKUP($N51,OFFSET(選手情報!$A$6:$BD$119,AZ51,0),56,FALSE)),"")</f>
        <v/>
      </c>
      <c r="BC51" s="127" t="str">
        <f ca="1">IF(BB51&lt;&gt;"",IF(ISNA(VLOOKUP($N51,OFFSET(選手情報!$A$6:$M$119,BB51,0),13,FALSE)),"","/"&amp;VLOOKUP($N51,OFFSET(選手情報!$A$6:$M$119,BB51,0),13,FALSE)),"")</f>
        <v/>
      </c>
      <c r="BD51" s="127" t="str">
        <f ca="1">IF(BB51&lt;&gt;"",IF(ISNA(VLOOKUP($N51,OFFSET(選手情報!$A$6:$BD$119,BB51,0),56,FALSE)),"",VLOOKUP($N51,OFFSET(選手情報!$A$6:$BD$119,BB51,0),56,FALSE)),"")</f>
        <v/>
      </c>
      <c r="BE51" s="127" t="str">
        <f ca="1">IF(BD51&lt;&gt;"",IF(ISNA(VLOOKUP($N51,OFFSET(選手情報!$A$6:$M$119,BD51,0),13,FALSE)),"","/"&amp;VLOOKUP($N51,OFFSET(選手情報!$A$6:$M$119,BD51,0),13,FALSE)),"")</f>
        <v/>
      </c>
      <c r="BF51" s="127" t="str">
        <f ca="1">IF(BD51&lt;&gt;"",IF(ISNA(VLOOKUP($N51,OFFSET(選手情報!$A$6:$BD$119,BD51,0),56,FALSE)),"",VLOOKUP($N51,OFFSET(選手情報!$A$6:$BD$119,BD51,0),56,FALSE)),"")</f>
        <v/>
      </c>
      <c r="BG51" s="127" t="str">
        <f ca="1">IF(BF51&lt;&gt;"",IF(ISNA(VLOOKUP($N51,OFFSET(選手情報!$A$6:$M$119,BF51,0),13,FALSE)),"","/"&amp;VLOOKUP($N51,OFFSET(選手情報!$A$6:$M$119,BF51,0),13,FALSE)),"")</f>
        <v/>
      </c>
      <c r="BH51" s="127" t="str">
        <f ca="1">IF(BF51&lt;&gt;"",IF(ISNA(VLOOKUP($N51,OFFSET(選手情報!$A$6:$BD$119,BF51,0),56,FALSE)),"",VLOOKUP($N51,OFFSET(選手情報!$A$6:$BD$119,BF51,0),56,FALSE)),"")</f>
        <v/>
      </c>
      <c r="BI51" s="127" t="str">
        <f ca="1">IF(BH51&lt;&gt;"",IF(ISNA(VLOOKUP($N51,OFFSET(選手情報!$A$6:$M$119,BH51,0),13,FALSE)),"","/"&amp;VLOOKUP($N51,OFFSET(選手情報!$A$6:$M$119,BH51,0),13,FALSE)),"")</f>
        <v/>
      </c>
    </row>
    <row r="52" spans="1:61" s="127" customFormat="1" ht="12.6" customHeight="1">
      <c r="A52" s="128" t="str">
        <f>IF(ISNA(VLOOKUP($C$2&amp;N52,選手データ!A:H,3,FALSE)),"",IF(M52&lt;&gt;M51,VLOOKUP($C$2&amp;N52,選手データ!A:H,3,FALSE),""))</f>
        <v/>
      </c>
      <c r="B52" s="129" t="str">
        <f>IF(A52&lt;&gt;"",VLOOKUP($C$2&amp;N52,選手データ!A:H,4,FALSE),"")</f>
        <v/>
      </c>
      <c r="C52" s="129" t="str">
        <f>IF(A52&lt;&gt;"",VLOOKUP($C$2&amp;N52,選手データ!A:H,5,FALSE),"")</f>
        <v/>
      </c>
      <c r="D52" s="129" t="str">
        <f>IF(A52&lt;&gt;"",VLOOKUP($C$2&amp;N52,選手データ!A:H,6,FALSE),"")</f>
        <v/>
      </c>
      <c r="E52" s="129" t="str">
        <f>IF(A52&lt;&gt;"",VLOOKUP($C$2&amp;N52,選手データ!A:H,7,FALSE),"")</f>
        <v/>
      </c>
      <c r="F52" s="130" t="str">
        <f>IF(A52&lt;&gt;"",VLOOKUP($C$2&amp;N52,選手データ!A:H,8,FALSE),"")</f>
        <v/>
      </c>
      <c r="G52" s="130" t="str">
        <f>IF(F52&lt;&gt;"",IF(DATEDIF(F52,設定!$B$12,"Y")&lt;20,"〇",""),"")</f>
        <v/>
      </c>
      <c r="H52" s="131" t="str">
        <f t="shared" ca="1" si="0"/>
        <v/>
      </c>
      <c r="I52" s="132" t="str">
        <f t="shared" ca="1" si="1"/>
        <v/>
      </c>
      <c r="J52" s="131" t="str">
        <f t="shared" ca="1" si="2"/>
        <v/>
      </c>
      <c r="K52" s="130" t="str">
        <f>IF(A52&lt;&gt;"",IF(COUNTIF(リレーチーム情報!$B$5:$B$10,A52&amp;E52)=1,"〇",""),"")</f>
        <v/>
      </c>
      <c r="L52" s="133" t="str">
        <f>IF(A52&lt;&gt;"",IF(COUNTIF(リレーチーム情報!$B$11:$B$16,A52&amp;E52)=1,"〇",""),"")</f>
        <v/>
      </c>
      <c r="M52" s="127">
        <f>IF(学校情報!$A$4&lt;&gt;"",0,IF(S51=0,MAX($M$37:M51)+1,M51))</f>
        <v>0</v>
      </c>
      <c r="N52" s="127" t="str">
        <f>IF(M52&lt;&gt;0,VLOOKUP(M52,選手情報!BF:BG,2,FALSE),"")</f>
        <v/>
      </c>
      <c r="O52" s="127" t="str">
        <f ca="1">IF(M52&lt;&gt;0,VLOOKUP(N52,OFFSET(選手情報!$A$6:$W$119,IF(M52&lt;&gt;M51,0,R51),0),13,FALSE),"")</f>
        <v/>
      </c>
      <c r="P52" s="127" t="str">
        <f ca="1">IF(M52&lt;&gt;0,VLOOKUP(N52,OFFSET(選手情報!$A$6:$W$119,IF(M52&lt;&gt;M51,0,R51),0),16,FALSE),"")</f>
        <v/>
      </c>
      <c r="Q52" s="127" t="str">
        <f ca="1">IF(M52&lt;&gt;0,VLOOKUP(N52,OFFSET(選手情報!$A$6:$W$119,IF(M52&lt;&gt;M51,0,R51),0),21,FALSE),"")</f>
        <v/>
      </c>
      <c r="R52" s="127">
        <f ca="1">IF(M52&lt;&gt;0,VLOOKUP(N52,OFFSET(選手情報!$A$6:$BD$119,IF(M52&lt;&gt;M51,0,R51),0),56,FALSE),0)</f>
        <v>0</v>
      </c>
      <c r="S52" s="127">
        <f ca="1">IF(M52&lt;&gt;0,IF(ISNA(R52),0,COUNTIF(OFFSET(選手情報!$A$6:$A$119,R52,0),N52)),0)</f>
        <v>0</v>
      </c>
      <c r="U52" s="127">
        <f t="shared" si="3"/>
        <v>0</v>
      </c>
      <c r="V52" s="127">
        <f t="shared" ca="1" si="4"/>
        <v>1</v>
      </c>
      <c r="W52" s="127">
        <f t="shared" ca="1" si="5"/>
        <v>0</v>
      </c>
      <c r="X52" s="127" t="str">
        <f t="shared" ca="1" si="6"/>
        <v/>
      </c>
      <c r="Y52" s="127" t="str">
        <f>IF($A52&lt;&gt;"",IF(ISNA(VLOOKUP($N52,選手情報!$A$6:$M$119,13,FALSE)),"","/"&amp;VLOOKUP($N52,選手情報!$A$6:$M$119,13,FALSE)),"")</f>
        <v/>
      </c>
      <c r="Z52" s="127" t="str">
        <f ca="1">IF(Y52&lt;&gt;"",IF(ISNA(VLOOKUP($N52,OFFSET(選手情報!$A$6:$BD$119,0,0),56,FALSE)),"",VLOOKUP($N52,OFFSET(選手情報!$A$6:$BD$119,0,0),56,FALSE)),"")</f>
        <v/>
      </c>
      <c r="AA52" s="127" t="str">
        <f ca="1">IF(Z52&lt;&gt;"",IF(ISNA(VLOOKUP($N52,OFFSET(選手情報!$A$6:$M$119,Z52,0),13,FALSE)),"","/"&amp;VLOOKUP($N52,OFFSET(選手情報!$A$6:$M$119,Z52,0),13,FALSE)),"")</f>
        <v/>
      </c>
      <c r="AB52" s="127" t="str">
        <f ca="1">IF(Z52&lt;&gt;"",IF(ISNA(VLOOKUP($N52,OFFSET(選手情報!$A$6:$BD$119,Z52,0),56,FALSE)),"",VLOOKUP($N52,OFFSET(選手情報!$A$6:$BD$119,Z52,0),56,FALSE)),"")</f>
        <v/>
      </c>
      <c r="AC52" s="127" t="str">
        <f ca="1">IF(AB52&lt;&gt;"",IF(ISNA(VLOOKUP($N52,OFFSET(選手情報!$A$6:$M$119,AB52,0),13,FALSE)),"","/"&amp;VLOOKUP($N52,OFFSET(選手情報!$A$6:$M$119,AB52,0),13,FALSE)),"")</f>
        <v/>
      </c>
      <c r="AD52" s="127" t="str">
        <f ca="1">IF(AB52&lt;&gt;"",IF(ISNA(VLOOKUP($N52,OFFSET(選手情報!$A$6:$BD$119,AB52,0),56,FALSE)),"",VLOOKUP($N52,OFFSET(選手情報!$A$6:$BD$119,AB52,0),56,FALSE)),"")</f>
        <v/>
      </c>
      <c r="AE52" s="127" t="str">
        <f ca="1">IF(AD52&lt;&gt;"",IF(ISNA(VLOOKUP($N52,OFFSET(選手情報!$A$6:$M$119,AD52,0),13,FALSE)),"","/"&amp;VLOOKUP($N52,OFFSET(選手情報!$A$6:$M$119,AD52,0),13,FALSE)),"")</f>
        <v/>
      </c>
      <c r="AF52" s="127" t="str">
        <f ca="1">IF(AD52&lt;&gt;"",IF(ISNA(VLOOKUP($N52,OFFSET(選手情報!$A$6:$BD$119,AD52,0),56,FALSE)),"",VLOOKUP($N52,OFFSET(選手情報!$A$6:$BD$119,AD52,0),56,FALSE)),"")</f>
        <v/>
      </c>
      <c r="AG52" s="127" t="str">
        <f ca="1">IF(AF52&lt;&gt;"",IF(ISNA(VLOOKUP($N52,OFFSET(選手情報!$A$6:$M$119,AF52,0),13,FALSE)),"","/"&amp;VLOOKUP($N52,OFFSET(選手情報!$A$6:$M$119,AF52,0),13,FALSE)),"")</f>
        <v/>
      </c>
      <c r="AH52" s="127" t="str">
        <f ca="1">IF(AF52&lt;&gt;"",IF(ISNA(VLOOKUP($N52,OFFSET(選手情報!$A$6:$BD$119,AF52,0),56,FALSE)),"",VLOOKUP($N52,OFFSET(選手情報!$A$6:$BD$119,AF52,0),56,FALSE)),"")</f>
        <v/>
      </c>
      <c r="AI52" s="127" t="str">
        <f ca="1">IF(AH52&lt;&gt;"",IF(ISNA(VLOOKUP($N52,OFFSET(選手情報!$A$6:$M$119,AH52,0),13,FALSE)),"","/"&amp;VLOOKUP($N52,OFFSET(選手情報!$A$6:$M$119,AH52,0),13,FALSE)),"")</f>
        <v/>
      </c>
      <c r="AJ52" s="127" t="str">
        <f ca="1">IF(AH52&lt;&gt;"",IF(ISNA(VLOOKUP($N52,OFFSET(選手情報!$A$6:$BD$119,AH52,0),56,FALSE)),"",VLOOKUP($N52,OFFSET(選手情報!$A$6:$BD$119,AH52,0),56,FALSE)),"")</f>
        <v/>
      </c>
      <c r="AK52" s="127" t="str">
        <f ca="1">IF(AJ52&lt;&gt;"",IF(ISNA(VLOOKUP($N52,OFFSET(選手情報!$A$6:$M$119,AJ52,0),13,FALSE)),"","/"&amp;VLOOKUP($N52,OFFSET(選手情報!$A$6:$M$119,AJ52,0),13,FALSE)),"")</f>
        <v/>
      </c>
      <c r="AL52" s="127" t="str">
        <f ca="1">IF(AJ52&lt;&gt;"",IF(ISNA(VLOOKUP($N52,OFFSET(選手情報!$A$6:$BD$119,AJ52,0),56,FALSE)),"",VLOOKUP($N52,OFFSET(選手情報!$A$6:$BD$119,AJ52,0),56,FALSE)),"")</f>
        <v/>
      </c>
      <c r="AM52" s="127" t="str">
        <f ca="1">IF(AL52&lt;&gt;"",IF(ISNA(VLOOKUP($N52,OFFSET(選手情報!$A$6:$M$119,AL52,0),13,FALSE)),"","/"&amp;VLOOKUP($N52,OFFSET(選手情報!$A$6:$M$119,AL52,0),13,FALSE)),"")</f>
        <v/>
      </c>
      <c r="AN52" s="127" t="str">
        <f ca="1">IF(AL52&lt;&gt;"",IF(ISNA(VLOOKUP($N52,OFFSET(選手情報!$A$6:$BD$119,AL52,0),56,FALSE)),"",VLOOKUP($N52,OFFSET(選手情報!$A$6:$BD$119,AL52,0),56,FALSE)),"")</f>
        <v/>
      </c>
      <c r="AO52" s="127" t="str">
        <f ca="1">IF(AN52&lt;&gt;"",IF(ISNA(VLOOKUP($N52,OFFSET(選手情報!$A$6:$M$119,AN52,0),13,FALSE)),"","/"&amp;VLOOKUP($N52,OFFSET(選手情報!$A$6:$M$119,AN52,0),13,FALSE)),"")</f>
        <v/>
      </c>
      <c r="AP52" s="127" t="str">
        <f ca="1">IF(AN52&lt;&gt;"",IF(ISNA(VLOOKUP($N52,OFFSET(選手情報!$A$6:$BD$119,AN52,0),56,FALSE)),"",VLOOKUP($N52,OFFSET(選手情報!$A$6:$BD$119,AN52,0),56,FALSE)),"")</f>
        <v/>
      </c>
      <c r="AQ52" s="127" t="str">
        <f ca="1">IF(AP52&lt;&gt;"",IF(ISNA(VLOOKUP($N52,OFFSET(選手情報!$A$6:$M$119,AP52,0),13,FALSE)),"","/"&amp;VLOOKUP($N52,OFFSET(選手情報!$A$6:$M$119,AP52,0),13,FALSE)),"")</f>
        <v/>
      </c>
      <c r="AR52" s="127" t="str">
        <f ca="1">IF(AP52&lt;&gt;"",IF(ISNA(VLOOKUP($N52,OFFSET(選手情報!$A$6:$BD$119,AP52,0),56,FALSE)),"",VLOOKUP($N52,OFFSET(選手情報!$A$6:$BD$119,AP52,0),56,FALSE)),"")</f>
        <v/>
      </c>
      <c r="AS52" s="127" t="str">
        <f ca="1">IF(AR52&lt;&gt;"",IF(ISNA(VLOOKUP($N52,OFFSET(選手情報!$A$6:$M$119,AR52,0),13,FALSE)),"","/"&amp;VLOOKUP($N52,OFFSET(選手情報!$A$6:$M$119,AR52,0),13,FALSE)),"")</f>
        <v/>
      </c>
      <c r="AT52" s="127" t="str">
        <f ca="1">IF(AR52&lt;&gt;"",IF(ISNA(VLOOKUP($N52,OFFSET(選手情報!$A$6:$BD$119,AR52,0),56,FALSE)),"",VLOOKUP($N52,OFFSET(選手情報!$A$6:$BD$119,AR52,0),56,FALSE)),"")</f>
        <v/>
      </c>
      <c r="AU52" s="127" t="str">
        <f ca="1">IF(AT52&lt;&gt;"",IF(ISNA(VLOOKUP($N52,OFFSET(選手情報!$A$6:$M$119,AT52,0),13,FALSE)),"","/"&amp;VLOOKUP($N52,OFFSET(選手情報!$A$6:$M$119,AT52,0),13,FALSE)),"")</f>
        <v/>
      </c>
      <c r="AV52" s="127" t="str">
        <f ca="1">IF(AT52&lt;&gt;"",IF(ISNA(VLOOKUP($N52,OFFSET(選手情報!$A$6:$BD$119,AT52,0),56,FALSE)),"",VLOOKUP($N52,OFFSET(選手情報!$A$6:$BD$119,AT52,0),56,FALSE)),"")</f>
        <v/>
      </c>
      <c r="AW52" s="127" t="str">
        <f ca="1">IF(AV52&lt;&gt;"",IF(ISNA(VLOOKUP($N52,OFFSET(選手情報!$A$6:$M$119,AV52,0),13,FALSE)),"","/"&amp;VLOOKUP($N52,OFFSET(選手情報!$A$6:$M$119,AV52,0),13,FALSE)),"")</f>
        <v/>
      </c>
      <c r="AX52" s="127" t="str">
        <f ca="1">IF(AV52&lt;&gt;"",IF(ISNA(VLOOKUP($N52,OFFSET(選手情報!$A$6:$BD$119,AV52,0),56,FALSE)),"",VLOOKUP($N52,OFFSET(選手情報!$A$6:$BD$119,AV52,0),56,FALSE)),"")</f>
        <v/>
      </c>
      <c r="AY52" s="127" t="str">
        <f ca="1">IF(AX52&lt;&gt;"",IF(ISNA(VLOOKUP($N52,OFFSET(選手情報!$A$6:$M$119,AX52,0),13,FALSE)),"","/"&amp;VLOOKUP($N52,OFFSET(選手情報!$A$6:$M$119,AX52,0),13,FALSE)),"")</f>
        <v/>
      </c>
      <c r="AZ52" s="127" t="str">
        <f ca="1">IF(AX52&lt;&gt;"",IF(ISNA(VLOOKUP($N52,OFFSET(選手情報!$A$6:$BD$119,AX52,0),56,FALSE)),"",VLOOKUP($N52,OFFSET(選手情報!$A$6:$BD$119,AX52,0),56,FALSE)),"")</f>
        <v/>
      </c>
      <c r="BA52" s="127" t="str">
        <f ca="1">IF(AZ52&lt;&gt;"",IF(ISNA(VLOOKUP($N52,OFFSET(選手情報!$A$6:$M$119,AZ52,0),13,FALSE)),"","/"&amp;VLOOKUP($N52,OFFSET(選手情報!$A$6:$M$119,AZ52,0),13,FALSE)),"")</f>
        <v/>
      </c>
      <c r="BB52" s="127" t="str">
        <f ca="1">IF(AZ52&lt;&gt;"",IF(ISNA(VLOOKUP($N52,OFFSET(選手情報!$A$6:$BD$119,AZ52,0),56,FALSE)),"",VLOOKUP($N52,OFFSET(選手情報!$A$6:$BD$119,AZ52,0),56,FALSE)),"")</f>
        <v/>
      </c>
      <c r="BC52" s="127" t="str">
        <f ca="1">IF(BB52&lt;&gt;"",IF(ISNA(VLOOKUP($N52,OFFSET(選手情報!$A$6:$M$119,BB52,0),13,FALSE)),"","/"&amp;VLOOKUP($N52,OFFSET(選手情報!$A$6:$M$119,BB52,0),13,FALSE)),"")</f>
        <v/>
      </c>
      <c r="BD52" s="127" t="str">
        <f ca="1">IF(BB52&lt;&gt;"",IF(ISNA(VLOOKUP($N52,OFFSET(選手情報!$A$6:$BD$119,BB52,0),56,FALSE)),"",VLOOKUP($N52,OFFSET(選手情報!$A$6:$BD$119,BB52,0),56,FALSE)),"")</f>
        <v/>
      </c>
      <c r="BE52" s="127" t="str">
        <f ca="1">IF(BD52&lt;&gt;"",IF(ISNA(VLOOKUP($N52,OFFSET(選手情報!$A$6:$M$119,BD52,0),13,FALSE)),"","/"&amp;VLOOKUP($N52,OFFSET(選手情報!$A$6:$M$119,BD52,0),13,FALSE)),"")</f>
        <v/>
      </c>
      <c r="BF52" s="127" t="str">
        <f ca="1">IF(BD52&lt;&gt;"",IF(ISNA(VLOOKUP($N52,OFFSET(選手情報!$A$6:$BD$119,BD52,0),56,FALSE)),"",VLOOKUP($N52,OFFSET(選手情報!$A$6:$BD$119,BD52,0),56,FALSE)),"")</f>
        <v/>
      </c>
      <c r="BG52" s="127" t="str">
        <f ca="1">IF(BF52&lt;&gt;"",IF(ISNA(VLOOKUP($N52,OFFSET(選手情報!$A$6:$M$119,BF52,0),13,FALSE)),"","/"&amp;VLOOKUP($N52,OFFSET(選手情報!$A$6:$M$119,BF52,0),13,FALSE)),"")</f>
        <v/>
      </c>
      <c r="BH52" s="127" t="str">
        <f ca="1">IF(BF52&lt;&gt;"",IF(ISNA(VLOOKUP($N52,OFFSET(選手情報!$A$6:$BD$119,BF52,0),56,FALSE)),"",VLOOKUP($N52,OFFSET(選手情報!$A$6:$BD$119,BF52,0),56,FALSE)),"")</f>
        <v/>
      </c>
      <c r="BI52" s="127" t="str">
        <f ca="1">IF(BH52&lt;&gt;"",IF(ISNA(VLOOKUP($N52,OFFSET(選手情報!$A$6:$M$119,BH52,0),13,FALSE)),"","/"&amp;VLOOKUP($N52,OFFSET(選手情報!$A$6:$M$119,BH52,0),13,FALSE)),"")</f>
        <v/>
      </c>
    </row>
    <row r="53" spans="1:61" s="127" customFormat="1" ht="12.6" customHeight="1">
      <c r="A53" s="128" t="str">
        <f>IF(ISNA(VLOOKUP($C$2&amp;N53,選手データ!A:H,3,FALSE)),"",IF(M53&lt;&gt;M52,VLOOKUP($C$2&amp;N53,選手データ!A:H,3,FALSE),""))</f>
        <v/>
      </c>
      <c r="B53" s="129" t="str">
        <f>IF(A53&lt;&gt;"",VLOOKUP($C$2&amp;N53,選手データ!A:H,4,FALSE),"")</f>
        <v/>
      </c>
      <c r="C53" s="129" t="str">
        <f>IF(A53&lt;&gt;"",VLOOKUP($C$2&amp;N53,選手データ!A:H,5,FALSE),"")</f>
        <v/>
      </c>
      <c r="D53" s="129" t="str">
        <f>IF(A53&lt;&gt;"",VLOOKUP($C$2&amp;N53,選手データ!A:H,6,FALSE),"")</f>
        <v/>
      </c>
      <c r="E53" s="129" t="str">
        <f>IF(A53&lt;&gt;"",VLOOKUP($C$2&amp;N53,選手データ!A:H,7,FALSE),"")</f>
        <v/>
      </c>
      <c r="F53" s="130" t="str">
        <f>IF(A53&lt;&gt;"",VLOOKUP($C$2&amp;N53,選手データ!A:H,8,FALSE),"")</f>
        <v/>
      </c>
      <c r="G53" s="130" t="str">
        <f>IF(F53&lt;&gt;"",IF(DATEDIF(F53,設定!$B$12,"Y")&lt;20,"〇",""),"")</f>
        <v/>
      </c>
      <c r="H53" s="131" t="str">
        <f t="shared" ca="1" si="0"/>
        <v/>
      </c>
      <c r="I53" s="132" t="str">
        <f t="shared" ca="1" si="1"/>
        <v/>
      </c>
      <c r="J53" s="131" t="str">
        <f t="shared" ca="1" si="2"/>
        <v/>
      </c>
      <c r="K53" s="130" t="str">
        <f>IF(A53&lt;&gt;"",IF(COUNTIF(リレーチーム情報!$B$5:$B$10,A53&amp;E53)=1,"〇",""),"")</f>
        <v/>
      </c>
      <c r="L53" s="133" t="str">
        <f>IF(A53&lt;&gt;"",IF(COUNTIF(リレーチーム情報!$B$11:$B$16,A53&amp;E53)=1,"〇",""),"")</f>
        <v/>
      </c>
      <c r="M53" s="127">
        <f>IF(学校情報!$A$4&lt;&gt;"",0,IF(S52=0,MAX($M$37:M52)+1,M52))</f>
        <v>0</v>
      </c>
      <c r="N53" s="127" t="str">
        <f>IF(M53&lt;&gt;0,VLOOKUP(M53,選手情報!BF:BG,2,FALSE),"")</f>
        <v/>
      </c>
      <c r="O53" s="127" t="str">
        <f ca="1">IF(M53&lt;&gt;0,VLOOKUP(N53,OFFSET(選手情報!$A$6:$W$119,IF(M53&lt;&gt;M52,0,R52),0),13,FALSE),"")</f>
        <v/>
      </c>
      <c r="P53" s="127" t="str">
        <f ca="1">IF(M53&lt;&gt;0,VLOOKUP(N53,OFFSET(選手情報!$A$6:$W$119,IF(M53&lt;&gt;M52,0,R52),0),16,FALSE),"")</f>
        <v/>
      </c>
      <c r="Q53" s="127" t="str">
        <f ca="1">IF(M53&lt;&gt;0,VLOOKUP(N53,OFFSET(選手情報!$A$6:$W$119,IF(M53&lt;&gt;M52,0,R52),0),21,FALSE),"")</f>
        <v/>
      </c>
      <c r="R53" s="127">
        <f ca="1">IF(M53&lt;&gt;0,VLOOKUP(N53,OFFSET(選手情報!$A$6:$BD$119,IF(M53&lt;&gt;M52,0,R52),0),56,FALSE),0)</f>
        <v>0</v>
      </c>
      <c r="S53" s="127">
        <f ca="1">IF(M53&lt;&gt;0,IF(ISNA(R53),0,COUNTIF(OFFSET(選手情報!$A$6:$A$119,R53,0),N53)),0)</f>
        <v>0</v>
      </c>
      <c r="U53" s="127">
        <f t="shared" si="3"/>
        <v>0</v>
      </c>
      <c r="V53" s="127">
        <f t="shared" ca="1" si="4"/>
        <v>1</v>
      </c>
      <c r="W53" s="127">
        <f t="shared" ca="1" si="5"/>
        <v>0</v>
      </c>
      <c r="X53" s="127" t="str">
        <f t="shared" ca="1" si="6"/>
        <v/>
      </c>
      <c r="Y53" s="127" t="str">
        <f>IF($A53&lt;&gt;"",IF(ISNA(VLOOKUP($N53,選手情報!$A$6:$M$119,13,FALSE)),"","/"&amp;VLOOKUP($N53,選手情報!$A$6:$M$119,13,FALSE)),"")</f>
        <v/>
      </c>
      <c r="Z53" s="127" t="str">
        <f ca="1">IF(Y53&lt;&gt;"",IF(ISNA(VLOOKUP($N53,OFFSET(選手情報!$A$6:$BD$119,0,0),56,FALSE)),"",VLOOKUP($N53,OFFSET(選手情報!$A$6:$BD$119,0,0),56,FALSE)),"")</f>
        <v/>
      </c>
      <c r="AA53" s="127" t="str">
        <f ca="1">IF(Z53&lt;&gt;"",IF(ISNA(VLOOKUP($N53,OFFSET(選手情報!$A$6:$M$119,Z53,0),13,FALSE)),"","/"&amp;VLOOKUP($N53,OFFSET(選手情報!$A$6:$M$119,Z53,0),13,FALSE)),"")</f>
        <v/>
      </c>
      <c r="AB53" s="127" t="str">
        <f ca="1">IF(Z53&lt;&gt;"",IF(ISNA(VLOOKUP($N53,OFFSET(選手情報!$A$6:$BD$119,Z53,0),56,FALSE)),"",VLOOKUP($N53,OFFSET(選手情報!$A$6:$BD$119,Z53,0),56,FALSE)),"")</f>
        <v/>
      </c>
      <c r="AC53" s="127" t="str">
        <f ca="1">IF(AB53&lt;&gt;"",IF(ISNA(VLOOKUP($N53,OFFSET(選手情報!$A$6:$M$119,AB53,0),13,FALSE)),"","/"&amp;VLOOKUP($N53,OFFSET(選手情報!$A$6:$M$119,AB53,0),13,FALSE)),"")</f>
        <v/>
      </c>
      <c r="AD53" s="127" t="str">
        <f ca="1">IF(AB53&lt;&gt;"",IF(ISNA(VLOOKUP($N53,OFFSET(選手情報!$A$6:$BD$119,AB53,0),56,FALSE)),"",VLOOKUP($N53,OFFSET(選手情報!$A$6:$BD$119,AB53,0),56,FALSE)),"")</f>
        <v/>
      </c>
      <c r="AE53" s="127" t="str">
        <f ca="1">IF(AD53&lt;&gt;"",IF(ISNA(VLOOKUP($N53,OFFSET(選手情報!$A$6:$M$119,AD53,0),13,FALSE)),"","/"&amp;VLOOKUP($N53,OFFSET(選手情報!$A$6:$M$119,AD53,0),13,FALSE)),"")</f>
        <v/>
      </c>
      <c r="AF53" s="127" t="str">
        <f ca="1">IF(AD53&lt;&gt;"",IF(ISNA(VLOOKUP($N53,OFFSET(選手情報!$A$6:$BD$119,AD53,0),56,FALSE)),"",VLOOKUP($N53,OFFSET(選手情報!$A$6:$BD$119,AD53,0),56,FALSE)),"")</f>
        <v/>
      </c>
      <c r="AG53" s="127" t="str">
        <f ca="1">IF(AF53&lt;&gt;"",IF(ISNA(VLOOKUP($N53,OFFSET(選手情報!$A$6:$M$119,AF53,0),13,FALSE)),"","/"&amp;VLOOKUP($N53,OFFSET(選手情報!$A$6:$M$119,AF53,0),13,FALSE)),"")</f>
        <v/>
      </c>
      <c r="AH53" s="127" t="str">
        <f ca="1">IF(AF53&lt;&gt;"",IF(ISNA(VLOOKUP($N53,OFFSET(選手情報!$A$6:$BD$119,AF53,0),56,FALSE)),"",VLOOKUP($N53,OFFSET(選手情報!$A$6:$BD$119,AF53,0),56,FALSE)),"")</f>
        <v/>
      </c>
      <c r="AI53" s="127" t="str">
        <f ca="1">IF(AH53&lt;&gt;"",IF(ISNA(VLOOKUP($N53,OFFSET(選手情報!$A$6:$M$119,AH53,0),13,FALSE)),"","/"&amp;VLOOKUP($N53,OFFSET(選手情報!$A$6:$M$119,AH53,0),13,FALSE)),"")</f>
        <v/>
      </c>
      <c r="AJ53" s="127" t="str">
        <f ca="1">IF(AH53&lt;&gt;"",IF(ISNA(VLOOKUP($N53,OFFSET(選手情報!$A$6:$BD$119,AH53,0),56,FALSE)),"",VLOOKUP($N53,OFFSET(選手情報!$A$6:$BD$119,AH53,0),56,FALSE)),"")</f>
        <v/>
      </c>
      <c r="AK53" s="127" t="str">
        <f ca="1">IF(AJ53&lt;&gt;"",IF(ISNA(VLOOKUP($N53,OFFSET(選手情報!$A$6:$M$119,AJ53,0),13,FALSE)),"","/"&amp;VLOOKUP($N53,OFFSET(選手情報!$A$6:$M$119,AJ53,0),13,FALSE)),"")</f>
        <v/>
      </c>
      <c r="AL53" s="127" t="str">
        <f ca="1">IF(AJ53&lt;&gt;"",IF(ISNA(VLOOKUP($N53,OFFSET(選手情報!$A$6:$BD$119,AJ53,0),56,FALSE)),"",VLOOKUP($N53,OFFSET(選手情報!$A$6:$BD$119,AJ53,0),56,FALSE)),"")</f>
        <v/>
      </c>
      <c r="AM53" s="127" t="str">
        <f ca="1">IF(AL53&lt;&gt;"",IF(ISNA(VLOOKUP($N53,OFFSET(選手情報!$A$6:$M$119,AL53,0),13,FALSE)),"","/"&amp;VLOOKUP($N53,OFFSET(選手情報!$A$6:$M$119,AL53,0),13,FALSE)),"")</f>
        <v/>
      </c>
      <c r="AN53" s="127" t="str">
        <f ca="1">IF(AL53&lt;&gt;"",IF(ISNA(VLOOKUP($N53,OFFSET(選手情報!$A$6:$BD$119,AL53,0),56,FALSE)),"",VLOOKUP($N53,OFFSET(選手情報!$A$6:$BD$119,AL53,0),56,FALSE)),"")</f>
        <v/>
      </c>
      <c r="AO53" s="127" t="str">
        <f ca="1">IF(AN53&lt;&gt;"",IF(ISNA(VLOOKUP($N53,OFFSET(選手情報!$A$6:$M$119,AN53,0),13,FALSE)),"","/"&amp;VLOOKUP($N53,OFFSET(選手情報!$A$6:$M$119,AN53,0),13,FALSE)),"")</f>
        <v/>
      </c>
      <c r="AP53" s="127" t="str">
        <f ca="1">IF(AN53&lt;&gt;"",IF(ISNA(VLOOKUP($N53,OFFSET(選手情報!$A$6:$BD$119,AN53,0),56,FALSE)),"",VLOOKUP($N53,OFFSET(選手情報!$A$6:$BD$119,AN53,0),56,FALSE)),"")</f>
        <v/>
      </c>
      <c r="AQ53" s="127" t="str">
        <f ca="1">IF(AP53&lt;&gt;"",IF(ISNA(VLOOKUP($N53,OFFSET(選手情報!$A$6:$M$119,AP53,0),13,FALSE)),"","/"&amp;VLOOKUP($N53,OFFSET(選手情報!$A$6:$M$119,AP53,0),13,FALSE)),"")</f>
        <v/>
      </c>
      <c r="AR53" s="127" t="str">
        <f ca="1">IF(AP53&lt;&gt;"",IF(ISNA(VLOOKUP($N53,OFFSET(選手情報!$A$6:$BD$119,AP53,0),56,FALSE)),"",VLOOKUP($N53,OFFSET(選手情報!$A$6:$BD$119,AP53,0),56,FALSE)),"")</f>
        <v/>
      </c>
      <c r="AS53" s="127" t="str">
        <f ca="1">IF(AR53&lt;&gt;"",IF(ISNA(VLOOKUP($N53,OFFSET(選手情報!$A$6:$M$119,AR53,0),13,FALSE)),"","/"&amp;VLOOKUP($N53,OFFSET(選手情報!$A$6:$M$119,AR53,0),13,FALSE)),"")</f>
        <v/>
      </c>
      <c r="AT53" s="127" t="str">
        <f ca="1">IF(AR53&lt;&gt;"",IF(ISNA(VLOOKUP($N53,OFFSET(選手情報!$A$6:$BD$119,AR53,0),56,FALSE)),"",VLOOKUP($N53,OFFSET(選手情報!$A$6:$BD$119,AR53,0),56,FALSE)),"")</f>
        <v/>
      </c>
      <c r="AU53" s="127" t="str">
        <f ca="1">IF(AT53&lt;&gt;"",IF(ISNA(VLOOKUP($N53,OFFSET(選手情報!$A$6:$M$119,AT53,0),13,FALSE)),"","/"&amp;VLOOKUP($N53,OFFSET(選手情報!$A$6:$M$119,AT53,0),13,FALSE)),"")</f>
        <v/>
      </c>
      <c r="AV53" s="127" t="str">
        <f ca="1">IF(AT53&lt;&gt;"",IF(ISNA(VLOOKUP($N53,OFFSET(選手情報!$A$6:$BD$119,AT53,0),56,FALSE)),"",VLOOKUP($N53,OFFSET(選手情報!$A$6:$BD$119,AT53,0),56,FALSE)),"")</f>
        <v/>
      </c>
      <c r="AW53" s="127" t="str">
        <f ca="1">IF(AV53&lt;&gt;"",IF(ISNA(VLOOKUP($N53,OFFSET(選手情報!$A$6:$M$119,AV53,0),13,FALSE)),"","/"&amp;VLOOKUP($N53,OFFSET(選手情報!$A$6:$M$119,AV53,0),13,FALSE)),"")</f>
        <v/>
      </c>
      <c r="AX53" s="127" t="str">
        <f ca="1">IF(AV53&lt;&gt;"",IF(ISNA(VLOOKUP($N53,OFFSET(選手情報!$A$6:$BD$119,AV53,0),56,FALSE)),"",VLOOKUP($N53,OFFSET(選手情報!$A$6:$BD$119,AV53,0),56,FALSE)),"")</f>
        <v/>
      </c>
      <c r="AY53" s="127" t="str">
        <f ca="1">IF(AX53&lt;&gt;"",IF(ISNA(VLOOKUP($N53,OFFSET(選手情報!$A$6:$M$119,AX53,0),13,FALSE)),"","/"&amp;VLOOKUP($N53,OFFSET(選手情報!$A$6:$M$119,AX53,0),13,FALSE)),"")</f>
        <v/>
      </c>
      <c r="AZ53" s="127" t="str">
        <f ca="1">IF(AX53&lt;&gt;"",IF(ISNA(VLOOKUP($N53,OFFSET(選手情報!$A$6:$BD$119,AX53,0),56,FALSE)),"",VLOOKUP($N53,OFFSET(選手情報!$A$6:$BD$119,AX53,0),56,FALSE)),"")</f>
        <v/>
      </c>
      <c r="BA53" s="127" t="str">
        <f ca="1">IF(AZ53&lt;&gt;"",IF(ISNA(VLOOKUP($N53,OFFSET(選手情報!$A$6:$M$119,AZ53,0),13,FALSE)),"","/"&amp;VLOOKUP($N53,OFFSET(選手情報!$A$6:$M$119,AZ53,0),13,FALSE)),"")</f>
        <v/>
      </c>
      <c r="BB53" s="127" t="str">
        <f ca="1">IF(AZ53&lt;&gt;"",IF(ISNA(VLOOKUP($N53,OFFSET(選手情報!$A$6:$BD$119,AZ53,0),56,FALSE)),"",VLOOKUP($N53,OFFSET(選手情報!$A$6:$BD$119,AZ53,0),56,FALSE)),"")</f>
        <v/>
      </c>
      <c r="BC53" s="127" t="str">
        <f ca="1">IF(BB53&lt;&gt;"",IF(ISNA(VLOOKUP($N53,OFFSET(選手情報!$A$6:$M$119,BB53,0),13,FALSE)),"","/"&amp;VLOOKUP($N53,OFFSET(選手情報!$A$6:$M$119,BB53,0),13,FALSE)),"")</f>
        <v/>
      </c>
      <c r="BD53" s="127" t="str">
        <f ca="1">IF(BB53&lt;&gt;"",IF(ISNA(VLOOKUP($N53,OFFSET(選手情報!$A$6:$BD$119,BB53,0),56,FALSE)),"",VLOOKUP($N53,OFFSET(選手情報!$A$6:$BD$119,BB53,0),56,FALSE)),"")</f>
        <v/>
      </c>
      <c r="BE53" s="127" t="str">
        <f ca="1">IF(BD53&lt;&gt;"",IF(ISNA(VLOOKUP($N53,OFFSET(選手情報!$A$6:$M$119,BD53,0),13,FALSE)),"","/"&amp;VLOOKUP($N53,OFFSET(選手情報!$A$6:$M$119,BD53,0),13,FALSE)),"")</f>
        <v/>
      </c>
      <c r="BF53" s="127" t="str">
        <f ca="1">IF(BD53&lt;&gt;"",IF(ISNA(VLOOKUP($N53,OFFSET(選手情報!$A$6:$BD$119,BD53,0),56,FALSE)),"",VLOOKUP($N53,OFFSET(選手情報!$A$6:$BD$119,BD53,0),56,FALSE)),"")</f>
        <v/>
      </c>
      <c r="BG53" s="127" t="str">
        <f ca="1">IF(BF53&lt;&gt;"",IF(ISNA(VLOOKUP($N53,OFFSET(選手情報!$A$6:$M$119,BF53,0),13,FALSE)),"","/"&amp;VLOOKUP($N53,OFFSET(選手情報!$A$6:$M$119,BF53,0),13,FALSE)),"")</f>
        <v/>
      </c>
      <c r="BH53" s="127" t="str">
        <f ca="1">IF(BF53&lt;&gt;"",IF(ISNA(VLOOKUP($N53,OFFSET(選手情報!$A$6:$BD$119,BF53,0),56,FALSE)),"",VLOOKUP($N53,OFFSET(選手情報!$A$6:$BD$119,BF53,0),56,FALSE)),"")</f>
        <v/>
      </c>
      <c r="BI53" s="127" t="str">
        <f ca="1">IF(BH53&lt;&gt;"",IF(ISNA(VLOOKUP($N53,OFFSET(選手情報!$A$6:$M$119,BH53,0),13,FALSE)),"","/"&amp;VLOOKUP($N53,OFFSET(選手情報!$A$6:$M$119,BH53,0),13,FALSE)),"")</f>
        <v/>
      </c>
    </row>
    <row r="54" spans="1:61" s="127" customFormat="1" ht="12.6" customHeight="1">
      <c r="A54" s="128" t="str">
        <f>IF(ISNA(VLOOKUP($C$2&amp;N54,選手データ!A:H,3,FALSE)),"",IF(M54&lt;&gt;M53,VLOOKUP($C$2&amp;N54,選手データ!A:H,3,FALSE),""))</f>
        <v/>
      </c>
      <c r="B54" s="129" t="str">
        <f>IF(A54&lt;&gt;"",VLOOKUP($C$2&amp;N54,選手データ!A:H,4,FALSE),"")</f>
        <v/>
      </c>
      <c r="C54" s="129" t="str">
        <f>IF(A54&lt;&gt;"",VLOOKUP($C$2&amp;N54,選手データ!A:H,5,FALSE),"")</f>
        <v/>
      </c>
      <c r="D54" s="129" t="str">
        <f>IF(A54&lt;&gt;"",VLOOKUP($C$2&amp;N54,選手データ!A:H,6,FALSE),"")</f>
        <v/>
      </c>
      <c r="E54" s="129" t="str">
        <f>IF(A54&lt;&gt;"",VLOOKUP($C$2&amp;N54,選手データ!A:H,7,FALSE),"")</f>
        <v/>
      </c>
      <c r="F54" s="130" t="str">
        <f>IF(A54&lt;&gt;"",VLOOKUP($C$2&amp;N54,選手データ!A:H,8,FALSE),"")</f>
        <v/>
      </c>
      <c r="G54" s="130" t="str">
        <f>IF(F54&lt;&gt;"",IF(DATEDIF(F54,設定!$B$12,"Y")&lt;20,"〇",""),"")</f>
        <v/>
      </c>
      <c r="H54" s="131" t="str">
        <f t="shared" ca="1" si="0"/>
        <v/>
      </c>
      <c r="I54" s="132" t="str">
        <f t="shared" ca="1" si="1"/>
        <v/>
      </c>
      <c r="J54" s="131" t="str">
        <f t="shared" ca="1" si="2"/>
        <v/>
      </c>
      <c r="K54" s="130" t="str">
        <f>IF(A54&lt;&gt;"",IF(COUNTIF(リレーチーム情報!$B$5:$B$10,A54&amp;E54)=1,"〇",""),"")</f>
        <v/>
      </c>
      <c r="L54" s="133" t="str">
        <f>IF(A54&lt;&gt;"",IF(COUNTIF(リレーチーム情報!$B$11:$B$16,A54&amp;E54)=1,"〇",""),"")</f>
        <v/>
      </c>
      <c r="M54" s="127">
        <f>IF(学校情報!$A$4&lt;&gt;"",0,IF(S53=0,MAX($M$37:M53)+1,M53))</f>
        <v>0</v>
      </c>
      <c r="N54" s="127" t="str">
        <f>IF(M54&lt;&gt;0,VLOOKUP(M54,選手情報!BF:BG,2,FALSE),"")</f>
        <v/>
      </c>
      <c r="O54" s="127" t="str">
        <f ca="1">IF(M54&lt;&gt;0,VLOOKUP(N54,OFFSET(選手情報!$A$6:$W$119,IF(M54&lt;&gt;M53,0,R53),0),13,FALSE),"")</f>
        <v/>
      </c>
      <c r="P54" s="127" t="str">
        <f ca="1">IF(M54&lt;&gt;0,VLOOKUP(N54,OFFSET(選手情報!$A$6:$W$119,IF(M54&lt;&gt;M53,0,R53),0),16,FALSE),"")</f>
        <v/>
      </c>
      <c r="Q54" s="127" t="str">
        <f ca="1">IF(M54&lt;&gt;0,VLOOKUP(N54,OFFSET(選手情報!$A$6:$W$119,IF(M54&lt;&gt;M53,0,R53),0),21,FALSE),"")</f>
        <v/>
      </c>
      <c r="R54" s="127">
        <f ca="1">IF(M54&lt;&gt;0,VLOOKUP(N54,OFFSET(選手情報!$A$6:$BD$119,IF(M54&lt;&gt;M53,0,R53),0),56,FALSE),0)</f>
        <v>0</v>
      </c>
      <c r="S54" s="127">
        <f ca="1">IF(M54&lt;&gt;0,IF(ISNA(R54),0,COUNTIF(OFFSET(選手情報!$A$6:$A$119,R54,0),N54)),0)</f>
        <v>0</v>
      </c>
      <c r="U54" s="127">
        <f t="shared" si="3"/>
        <v>0</v>
      </c>
      <c r="V54" s="127">
        <f t="shared" ca="1" si="4"/>
        <v>1</v>
      </c>
      <c r="W54" s="127">
        <f t="shared" ca="1" si="5"/>
        <v>0</v>
      </c>
      <c r="X54" s="127" t="str">
        <f t="shared" ca="1" si="6"/>
        <v/>
      </c>
      <c r="Y54" s="127" t="str">
        <f>IF($A54&lt;&gt;"",IF(ISNA(VLOOKUP($N54,選手情報!$A$6:$M$119,13,FALSE)),"","/"&amp;VLOOKUP($N54,選手情報!$A$6:$M$119,13,FALSE)),"")</f>
        <v/>
      </c>
      <c r="Z54" s="127" t="str">
        <f ca="1">IF(Y54&lt;&gt;"",IF(ISNA(VLOOKUP($N54,OFFSET(選手情報!$A$6:$BD$119,0,0),56,FALSE)),"",VLOOKUP($N54,OFFSET(選手情報!$A$6:$BD$119,0,0),56,FALSE)),"")</f>
        <v/>
      </c>
      <c r="AA54" s="127" t="str">
        <f ca="1">IF(Z54&lt;&gt;"",IF(ISNA(VLOOKUP($N54,OFFSET(選手情報!$A$6:$M$119,Z54,0),13,FALSE)),"","/"&amp;VLOOKUP($N54,OFFSET(選手情報!$A$6:$M$119,Z54,0),13,FALSE)),"")</f>
        <v/>
      </c>
      <c r="AB54" s="127" t="str">
        <f ca="1">IF(Z54&lt;&gt;"",IF(ISNA(VLOOKUP($N54,OFFSET(選手情報!$A$6:$BD$119,Z54,0),56,FALSE)),"",VLOOKUP($N54,OFFSET(選手情報!$A$6:$BD$119,Z54,0),56,FALSE)),"")</f>
        <v/>
      </c>
      <c r="AC54" s="127" t="str">
        <f ca="1">IF(AB54&lt;&gt;"",IF(ISNA(VLOOKUP($N54,OFFSET(選手情報!$A$6:$M$119,AB54,0),13,FALSE)),"","/"&amp;VLOOKUP($N54,OFFSET(選手情報!$A$6:$M$119,AB54,0),13,FALSE)),"")</f>
        <v/>
      </c>
      <c r="AD54" s="127" t="str">
        <f ca="1">IF(AB54&lt;&gt;"",IF(ISNA(VLOOKUP($N54,OFFSET(選手情報!$A$6:$BD$119,AB54,0),56,FALSE)),"",VLOOKUP($N54,OFFSET(選手情報!$A$6:$BD$119,AB54,0),56,FALSE)),"")</f>
        <v/>
      </c>
      <c r="AE54" s="127" t="str">
        <f ca="1">IF(AD54&lt;&gt;"",IF(ISNA(VLOOKUP($N54,OFFSET(選手情報!$A$6:$M$119,AD54,0),13,FALSE)),"","/"&amp;VLOOKUP($N54,OFFSET(選手情報!$A$6:$M$119,AD54,0),13,FALSE)),"")</f>
        <v/>
      </c>
      <c r="AF54" s="127" t="str">
        <f ca="1">IF(AD54&lt;&gt;"",IF(ISNA(VLOOKUP($N54,OFFSET(選手情報!$A$6:$BD$119,AD54,0),56,FALSE)),"",VLOOKUP($N54,OFFSET(選手情報!$A$6:$BD$119,AD54,0),56,FALSE)),"")</f>
        <v/>
      </c>
      <c r="AG54" s="127" t="str">
        <f ca="1">IF(AF54&lt;&gt;"",IF(ISNA(VLOOKUP($N54,OFFSET(選手情報!$A$6:$M$119,AF54,0),13,FALSE)),"","/"&amp;VLOOKUP($N54,OFFSET(選手情報!$A$6:$M$119,AF54,0),13,FALSE)),"")</f>
        <v/>
      </c>
      <c r="AH54" s="127" t="str">
        <f ca="1">IF(AF54&lt;&gt;"",IF(ISNA(VLOOKUP($N54,OFFSET(選手情報!$A$6:$BD$119,AF54,0),56,FALSE)),"",VLOOKUP($N54,OFFSET(選手情報!$A$6:$BD$119,AF54,0),56,FALSE)),"")</f>
        <v/>
      </c>
      <c r="AI54" s="127" t="str">
        <f ca="1">IF(AH54&lt;&gt;"",IF(ISNA(VLOOKUP($N54,OFFSET(選手情報!$A$6:$M$119,AH54,0),13,FALSE)),"","/"&amp;VLOOKUP($N54,OFFSET(選手情報!$A$6:$M$119,AH54,0),13,FALSE)),"")</f>
        <v/>
      </c>
      <c r="AJ54" s="127" t="str">
        <f ca="1">IF(AH54&lt;&gt;"",IF(ISNA(VLOOKUP($N54,OFFSET(選手情報!$A$6:$BD$119,AH54,0),56,FALSE)),"",VLOOKUP($N54,OFFSET(選手情報!$A$6:$BD$119,AH54,0),56,FALSE)),"")</f>
        <v/>
      </c>
      <c r="AK54" s="127" t="str">
        <f ca="1">IF(AJ54&lt;&gt;"",IF(ISNA(VLOOKUP($N54,OFFSET(選手情報!$A$6:$M$119,AJ54,0),13,FALSE)),"","/"&amp;VLOOKUP($N54,OFFSET(選手情報!$A$6:$M$119,AJ54,0),13,FALSE)),"")</f>
        <v/>
      </c>
      <c r="AL54" s="127" t="str">
        <f ca="1">IF(AJ54&lt;&gt;"",IF(ISNA(VLOOKUP($N54,OFFSET(選手情報!$A$6:$BD$119,AJ54,0),56,FALSE)),"",VLOOKUP($N54,OFFSET(選手情報!$A$6:$BD$119,AJ54,0),56,FALSE)),"")</f>
        <v/>
      </c>
      <c r="AM54" s="127" t="str">
        <f ca="1">IF(AL54&lt;&gt;"",IF(ISNA(VLOOKUP($N54,OFFSET(選手情報!$A$6:$M$119,AL54,0),13,FALSE)),"","/"&amp;VLOOKUP($N54,OFFSET(選手情報!$A$6:$M$119,AL54,0),13,FALSE)),"")</f>
        <v/>
      </c>
      <c r="AN54" s="127" t="str">
        <f ca="1">IF(AL54&lt;&gt;"",IF(ISNA(VLOOKUP($N54,OFFSET(選手情報!$A$6:$BD$119,AL54,0),56,FALSE)),"",VLOOKUP($N54,OFFSET(選手情報!$A$6:$BD$119,AL54,0),56,FALSE)),"")</f>
        <v/>
      </c>
      <c r="AO54" s="127" t="str">
        <f ca="1">IF(AN54&lt;&gt;"",IF(ISNA(VLOOKUP($N54,OFFSET(選手情報!$A$6:$M$119,AN54,0),13,FALSE)),"","/"&amp;VLOOKUP($N54,OFFSET(選手情報!$A$6:$M$119,AN54,0),13,FALSE)),"")</f>
        <v/>
      </c>
      <c r="AP54" s="127" t="str">
        <f ca="1">IF(AN54&lt;&gt;"",IF(ISNA(VLOOKUP($N54,OFFSET(選手情報!$A$6:$BD$119,AN54,0),56,FALSE)),"",VLOOKUP($N54,OFFSET(選手情報!$A$6:$BD$119,AN54,0),56,FALSE)),"")</f>
        <v/>
      </c>
      <c r="AQ54" s="127" t="str">
        <f ca="1">IF(AP54&lt;&gt;"",IF(ISNA(VLOOKUP($N54,OFFSET(選手情報!$A$6:$M$119,AP54,0),13,FALSE)),"","/"&amp;VLOOKUP($N54,OFFSET(選手情報!$A$6:$M$119,AP54,0),13,FALSE)),"")</f>
        <v/>
      </c>
      <c r="AR54" s="127" t="str">
        <f ca="1">IF(AP54&lt;&gt;"",IF(ISNA(VLOOKUP($N54,OFFSET(選手情報!$A$6:$BD$119,AP54,0),56,FALSE)),"",VLOOKUP($N54,OFFSET(選手情報!$A$6:$BD$119,AP54,0),56,FALSE)),"")</f>
        <v/>
      </c>
      <c r="AS54" s="127" t="str">
        <f ca="1">IF(AR54&lt;&gt;"",IF(ISNA(VLOOKUP($N54,OFFSET(選手情報!$A$6:$M$119,AR54,0),13,FALSE)),"","/"&amp;VLOOKUP($N54,OFFSET(選手情報!$A$6:$M$119,AR54,0),13,FALSE)),"")</f>
        <v/>
      </c>
      <c r="AT54" s="127" t="str">
        <f ca="1">IF(AR54&lt;&gt;"",IF(ISNA(VLOOKUP($N54,OFFSET(選手情報!$A$6:$BD$119,AR54,0),56,FALSE)),"",VLOOKUP($N54,OFFSET(選手情報!$A$6:$BD$119,AR54,0),56,FALSE)),"")</f>
        <v/>
      </c>
      <c r="AU54" s="127" t="str">
        <f ca="1">IF(AT54&lt;&gt;"",IF(ISNA(VLOOKUP($N54,OFFSET(選手情報!$A$6:$M$119,AT54,0),13,FALSE)),"","/"&amp;VLOOKUP($N54,OFFSET(選手情報!$A$6:$M$119,AT54,0),13,FALSE)),"")</f>
        <v/>
      </c>
      <c r="AV54" s="127" t="str">
        <f ca="1">IF(AT54&lt;&gt;"",IF(ISNA(VLOOKUP($N54,OFFSET(選手情報!$A$6:$BD$119,AT54,0),56,FALSE)),"",VLOOKUP($N54,OFFSET(選手情報!$A$6:$BD$119,AT54,0),56,FALSE)),"")</f>
        <v/>
      </c>
      <c r="AW54" s="127" t="str">
        <f ca="1">IF(AV54&lt;&gt;"",IF(ISNA(VLOOKUP($N54,OFFSET(選手情報!$A$6:$M$119,AV54,0),13,FALSE)),"","/"&amp;VLOOKUP($N54,OFFSET(選手情報!$A$6:$M$119,AV54,0),13,FALSE)),"")</f>
        <v/>
      </c>
      <c r="AX54" s="127" t="str">
        <f ca="1">IF(AV54&lt;&gt;"",IF(ISNA(VLOOKUP($N54,OFFSET(選手情報!$A$6:$BD$119,AV54,0),56,FALSE)),"",VLOOKUP($N54,OFFSET(選手情報!$A$6:$BD$119,AV54,0),56,FALSE)),"")</f>
        <v/>
      </c>
      <c r="AY54" s="127" t="str">
        <f ca="1">IF(AX54&lt;&gt;"",IF(ISNA(VLOOKUP($N54,OFFSET(選手情報!$A$6:$M$119,AX54,0),13,FALSE)),"","/"&amp;VLOOKUP($N54,OFFSET(選手情報!$A$6:$M$119,AX54,0),13,FALSE)),"")</f>
        <v/>
      </c>
      <c r="AZ54" s="127" t="str">
        <f ca="1">IF(AX54&lt;&gt;"",IF(ISNA(VLOOKUP($N54,OFFSET(選手情報!$A$6:$BD$119,AX54,0),56,FALSE)),"",VLOOKUP($N54,OFFSET(選手情報!$A$6:$BD$119,AX54,0),56,FALSE)),"")</f>
        <v/>
      </c>
      <c r="BA54" s="127" t="str">
        <f ca="1">IF(AZ54&lt;&gt;"",IF(ISNA(VLOOKUP($N54,OFFSET(選手情報!$A$6:$M$119,AZ54,0),13,FALSE)),"","/"&amp;VLOOKUP($N54,OFFSET(選手情報!$A$6:$M$119,AZ54,0),13,FALSE)),"")</f>
        <v/>
      </c>
      <c r="BB54" s="127" t="str">
        <f ca="1">IF(AZ54&lt;&gt;"",IF(ISNA(VLOOKUP($N54,OFFSET(選手情報!$A$6:$BD$119,AZ54,0),56,FALSE)),"",VLOOKUP($N54,OFFSET(選手情報!$A$6:$BD$119,AZ54,0),56,FALSE)),"")</f>
        <v/>
      </c>
      <c r="BC54" s="127" t="str">
        <f ca="1">IF(BB54&lt;&gt;"",IF(ISNA(VLOOKUP($N54,OFFSET(選手情報!$A$6:$M$119,BB54,0),13,FALSE)),"","/"&amp;VLOOKUP($N54,OFFSET(選手情報!$A$6:$M$119,BB54,0),13,FALSE)),"")</f>
        <v/>
      </c>
      <c r="BD54" s="127" t="str">
        <f ca="1">IF(BB54&lt;&gt;"",IF(ISNA(VLOOKUP($N54,OFFSET(選手情報!$A$6:$BD$119,BB54,0),56,FALSE)),"",VLOOKUP($N54,OFFSET(選手情報!$A$6:$BD$119,BB54,0),56,FALSE)),"")</f>
        <v/>
      </c>
      <c r="BE54" s="127" t="str">
        <f ca="1">IF(BD54&lt;&gt;"",IF(ISNA(VLOOKUP($N54,OFFSET(選手情報!$A$6:$M$119,BD54,0),13,FALSE)),"","/"&amp;VLOOKUP($N54,OFFSET(選手情報!$A$6:$M$119,BD54,0),13,FALSE)),"")</f>
        <v/>
      </c>
      <c r="BF54" s="127" t="str">
        <f ca="1">IF(BD54&lt;&gt;"",IF(ISNA(VLOOKUP($N54,OFFSET(選手情報!$A$6:$BD$119,BD54,0),56,FALSE)),"",VLOOKUP($N54,OFFSET(選手情報!$A$6:$BD$119,BD54,0),56,FALSE)),"")</f>
        <v/>
      </c>
      <c r="BG54" s="127" t="str">
        <f ca="1">IF(BF54&lt;&gt;"",IF(ISNA(VLOOKUP($N54,OFFSET(選手情報!$A$6:$M$119,BF54,0),13,FALSE)),"","/"&amp;VLOOKUP($N54,OFFSET(選手情報!$A$6:$M$119,BF54,0),13,FALSE)),"")</f>
        <v/>
      </c>
      <c r="BH54" s="127" t="str">
        <f ca="1">IF(BF54&lt;&gt;"",IF(ISNA(VLOOKUP($N54,OFFSET(選手情報!$A$6:$BD$119,BF54,0),56,FALSE)),"",VLOOKUP($N54,OFFSET(選手情報!$A$6:$BD$119,BF54,0),56,FALSE)),"")</f>
        <v/>
      </c>
      <c r="BI54" s="127" t="str">
        <f ca="1">IF(BH54&lt;&gt;"",IF(ISNA(VLOOKUP($N54,OFFSET(選手情報!$A$6:$M$119,BH54,0),13,FALSE)),"","/"&amp;VLOOKUP($N54,OFFSET(選手情報!$A$6:$M$119,BH54,0),13,FALSE)),"")</f>
        <v/>
      </c>
    </row>
    <row r="55" spans="1:61" s="127" customFormat="1" ht="12.6" customHeight="1">
      <c r="A55" s="128" t="str">
        <f>IF(ISNA(VLOOKUP($C$2&amp;N55,選手データ!A:H,3,FALSE)),"",IF(M55&lt;&gt;M54,VLOOKUP($C$2&amp;N55,選手データ!A:H,3,FALSE),""))</f>
        <v/>
      </c>
      <c r="B55" s="129" t="str">
        <f>IF(A55&lt;&gt;"",VLOOKUP($C$2&amp;N55,選手データ!A:H,4,FALSE),"")</f>
        <v/>
      </c>
      <c r="C55" s="129" t="str">
        <f>IF(A55&lt;&gt;"",VLOOKUP($C$2&amp;N55,選手データ!A:H,5,FALSE),"")</f>
        <v/>
      </c>
      <c r="D55" s="129" t="str">
        <f>IF(A55&lt;&gt;"",VLOOKUP($C$2&amp;N55,選手データ!A:H,6,FALSE),"")</f>
        <v/>
      </c>
      <c r="E55" s="129" t="str">
        <f>IF(A55&lt;&gt;"",VLOOKUP($C$2&amp;N55,選手データ!A:H,7,FALSE),"")</f>
        <v/>
      </c>
      <c r="F55" s="130" t="str">
        <f>IF(A55&lt;&gt;"",VLOOKUP($C$2&amp;N55,選手データ!A:H,8,FALSE),"")</f>
        <v/>
      </c>
      <c r="G55" s="130" t="str">
        <f>IF(F55&lt;&gt;"",IF(DATEDIF(F55,設定!$B$12,"Y")&lt;20,"〇",""),"")</f>
        <v/>
      </c>
      <c r="H55" s="131" t="str">
        <f t="shared" ca="1" si="0"/>
        <v/>
      </c>
      <c r="I55" s="132" t="str">
        <f t="shared" ca="1" si="1"/>
        <v/>
      </c>
      <c r="J55" s="131" t="str">
        <f t="shared" ca="1" si="2"/>
        <v/>
      </c>
      <c r="K55" s="130" t="str">
        <f>IF(A55&lt;&gt;"",IF(COUNTIF(リレーチーム情報!$B$5:$B$10,A55&amp;E55)=1,"〇",""),"")</f>
        <v/>
      </c>
      <c r="L55" s="133" t="str">
        <f>IF(A55&lt;&gt;"",IF(COUNTIF(リレーチーム情報!$B$11:$B$16,A55&amp;E55)=1,"〇",""),"")</f>
        <v/>
      </c>
      <c r="M55" s="127">
        <f>IF(学校情報!$A$4&lt;&gt;"",0,IF(S54=0,MAX($M$37:M54)+1,M54))</f>
        <v>0</v>
      </c>
      <c r="N55" s="127" t="str">
        <f>IF(M55&lt;&gt;0,VLOOKUP(M55,選手情報!BF:BG,2,FALSE),"")</f>
        <v/>
      </c>
      <c r="O55" s="127" t="str">
        <f ca="1">IF(M55&lt;&gt;0,VLOOKUP(N55,OFFSET(選手情報!$A$6:$W$119,IF(M55&lt;&gt;M54,0,R54),0),13,FALSE),"")</f>
        <v/>
      </c>
      <c r="P55" s="127" t="str">
        <f ca="1">IF(M55&lt;&gt;0,VLOOKUP(N55,OFFSET(選手情報!$A$6:$W$119,IF(M55&lt;&gt;M54,0,R54),0),16,FALSE),"")</f>
        <v/>
      </c>
      <c r="Q55" s="127" t="str">
        <f ca="1">IF(M55&lt;&gt;0,VLOOKUP(N55,OFFSET(選手情報!$A$6:$W$119,IF(M55&lt;&gt;M54,0,R54),0),21,FALSE),"")</f>
        <v/>
      </c>
      <c r="R55" s="127">
        <f ca="1">IF(M55&lt;&gt;0,VLOOKUP(N55,OFFSET(選手情報!$A$6:$BD$119,IF(M55&lt;&gt;M54,0,R54),0),56,FALSE),0)</f>
        <v>0</v>
      </c>
      <c r="S55" s="127">
        <f ca="1">IF(M55&lt;&gt;0,IF(ISNA(R55),0,COUNTIF(OFFSET(選手情報!$A$6:$A$119,R55,0),N55)),0)</f>
        <v>0</v>
      </c>
      <c r="U55" s="127">
        <f t="shared" si="3"/>
        <v>0</v>
      </c>
      <c r="V55" s="127">
        <f t="shared" ca="1" si="4"/>
        <v>1</v>
      </c>
      <c r="W55" s="127">
        <f t="shared" ca="1" si="5"/>
        <v>0</v>
      </c>
      <c r="X55" s="127" t="str">
        <f t="shared" ca="1" si="6"/>
        <v/>
      </c>
      <c r="Y55" s="127" t="str">
        <f>IF($A55&lt;&gt;"",IF(ISNA(VLOOKUP($N55,選手情報!$A$6:$M$119,13,FALSE)),"","/"&amp;VLOOKUP($N55,選手情報!$A$6:$M$119,13,FALSE)),"")</f>
        <v/>
      </c>
      <c r="Z55" s="127" t="str">
        <f ca="1">IF(Y55&lt;&gt;"",IF(ISNA(VLOOKUP($N55,OFFSET(選手情報!$A$6:$BD$119,0,0),56,FALSE)),"",VLOOKUP($N55,OFFSET(選手情報!$A$6:$BD$119,0,0),56,FALSE)),"")</f>
        <v/>
      </c>
      <c r="AA55" s="127" t="str">
        <f ca="1">IF(Z55&lt;&gt;"",IF(ISNA(VLOOKUP($N55,OFFSET(選手情報!$A$6:$M$119,Z55,0),13,FALSE)),"","/"&amp;VLOOKUP($N55,OFFSET(選手情報!$A$6:$M$119,Z55,0),13,FALSE)),"")</f>
        <v/>
      </c>
      <c r="AB55" s="127" t="str">
        <f ca="1">IF(Z55&lt;&gt;"",IF(ISNA(VLOOKUP($N55,OFFSET(選手情報!$A$6:$BD$119,Z55,0),56,FALSE)),"",VLOOKUP($N55,OFFSET(選手情報!$A$6:$BD$119,Z55,0),56,FALSE)),"")</f>
        <v/>
      </c>
      <c r="AC55" s="127" t="str">
        <f ca="1">IF(AB55&lt;&gt;"",IF(ISNA(VLOOKUP($N55,OFFSET(選手情報!$A$6:$M$119,AB55,0),13,FALSE)),"","/"&amp;VLOOKUP($N55,OFFSET(選手情報!$A$6:$M$119,AB55,0),13,FALSE)),"")</f>
        <v/>
      </c>
      <c r="AD55" s="127" t="str">
        <f ca="1">IF(AB55&lt;&gt;"",IF(ISNA(VLOOKUP($N55,OFFSET(選手情報!$A$6:$BD$119,AB55,0),56,FALSE)),"",VLOOKUP($N55,OFFSET(選手情報!$A$6:$BD$119,AB55,0),56,FALSE)),"")</f>
        <v/>
      </c>
      <c r="AE55" s="127" t="str">
        <f ca="1">IF(AD55&lt;&gt;"",IF(ISNA(VLOOKUP($N55,OFFSET(選手情報!$A$6:$M$119,AD55,0),13,FALSE)),"","/"&amp;VLOOKUP($N55,OFFSET(選手情報!$A$6:$M$119,AD55,0),13,FALSE)),"")</f>
        <v/>
      </c>
      <c r="AF55" s="127" t="str">
        <f ca="1">IF(AD55&lt;&gt;"",IF(ISNA(VLOOKUP($N55,OFFSET(選手情報!$A$6:$BD$119,AD55,0),56,FALSE)),"",VLOOKUP($N55,OFFSET(選手情報!$A$6:$BD$119,AD55,0),56,FALSE)),"")</f>
        <v/>
      </c>
      <c r="AG55" s="127" t="str">
        <f ca="1">IF(AF55&lt;&gt;"",IF(ISNA(VLOOKUP($N55,OFFSET(選手情報!$A$6:$M$119,AF55,0),13,FALSE)),"","/"&amp;VLOOKUP($N55,OFFSET(選手情報!$A$6:$M$119,AF55,0),13,FALSE)),"")</f>
        <v/>
      </c>
      <c r="AH55" s="127" t="str">
        <f ca="1">IF(AF55&lt;&gt;"",IF(ISNA(VLOOKUP($N55,OFFSET(選手情報!$A$6:$BD$119,AF55,0),56,FALSE)),"",VLOOKUP($N55,OFFSET(選手情報!$A$6:$BD$119,AF55,0),56,FALSE)),"")</f>
        <v/>
      </c>
      <c r="AI55" s="127" t="str">
        <f ca="1">IF(AH55&lt;&gt;"",IF(ISNA(VLOOKUP($N55,OFFSET(選手情報!$A$6:$M$119,AH55,0),13,FALSE)),"","/"&amp;VLOOKUP($N55,OFFSET(選手情報!$A$6:$M$119,AH55,0),13,FALSE)),"")</f>
        <v/>
      </c>
      <c r="AJ55" s="127" t="str">
        <f ca="1">IF(AH55&lt;&gt;"",IF(ISNA(VLOOKUP($N55,OFFSET(選手情報!$A$6:$BD$119,AH55,0),56,FALSE)),"",VLOOKUP($N55,OFFSET(選手情報!$A$6:$BD$119,AH55,0),56,FALSE)),"")</f>
        <v/>
      </c>
      <c r="AK55" s="127" t="str">
        <f ca="1">IF(AJ55&lt;&gt;"",IF(ISNA(VLOOKUP($N55,OFFSET(選手情報!$A$6:$M$119,AJ55,0),13,FALSE)),"","/"&amp;VLOOKUP($N55,OFFSET(選手情報!$A$6:$M$119,AJ55,0),13,FALSE)),"")</f>
        <v/>
      </c>
      <c r="AL55" s="127" t="str">
        <f ca="1">IF(AJ55&lt;&gt;"",IF(ISNA(VLOOKUP($N55,OFFSET(選手情報!$A$6:$BD$119,AJ55,0),56,FALSE)),"",VLOOKUP($N55,OFFSET(選手情報!$A$6:$BD$119,AJ55,0),56,FALSE)),"")</f>
        <v/>
      </c>
      <c r="AM55" s="127" t="str">
        <f ca="1">IF(AL55&lt;&gt;"",IF(ISNA(VLOOKUP($N55,OFFSET(選手情報!$A$6:$M$119,AL55,0),13,FALSE)),"","/"&amp;VLOOKUP($N55,OFFSET(選手情報!$A$6:$M$119,AL55,0),13,FALSE)),"")</f>
        <v/>
      </c>
      <c r="AN55" s="127" t="str">
        <f ca="1">IF(AL55&lt;&gt;"",IF(ISNA(VLOOKUP($N55,OFFSET(選手情報!$A$6:$BD$119,AL55,0),56,FALSE)),"",VLOOKUP($N55,OFFSET(選手情報!$A$6:$BD$119,AL55,0),56,FALSE)),"")</f>
        <v/>
      </c>
      <c r="AO55" s="127" t="str">
        <f ca="1">IF(AN55&lt;&gt;"",IF(ISNA(VLOOKUP($N55,OFFSET(選手情報!$A$6:$M$119,AN55,0),13,FALSE)),"","/"&amp;VLOOKUP($N55,OFFSET(選手情報!$A$6:$M$119,AN55,0),13,FALSE)),"")</f>
        <v/>
      </c>
      <c r="AP55" s="127" t="str">
        <f ca="1">IF(AN55&lt;&gt;"",IF(ISNA(VLOOKUP($N55,OFFSET(選手情報!$A$6:$BD$119,AN55,0),56,FALSE)),"",VLOOKUP($N55,OFFSET(選手情報!$A$6:$BD$119,AN55,0),56,FALSE)),"")</f>
        <v/>
      </c>
      <c r="AQ55" s="127" t="str">
        <f ca="1">IF(AP55&lt;&gt;"",IF(ISNA(VLOOKUP($N55,OFFSET(選手情報!$A$6:$M$119,AP55,0),13,FALSE)),"","/"&amp;VLOOKUP($N55,OFFSET(選手情報!$A$6:$M$119,AP55,0),13,FALSE)),"")</f>
        <v/>
      </c>
      <c r="AR55" s="127" t="str">
        <f ca="1">IF(AP55&lt;&gt;"",IF(ISNA(VLOOKUP($N55,OFFSET(選手情報!$A$6:$BD$119,AP55,0),56,FALSE)),"",VLOOKUP($N55,OFFSET(選手情報!$A$6:$BD$119,AP55,0),56,FALSE)),"")</f>
        <v/>
      </c>
      <c r="AS55" s="127" t="str">
        <f ca="1">IF(AR55&lt;&gt;"",IF(ISNA(VLOOKUP($N55,OFFSET(選手情報!$A$6:$M$119,AR55,0),13,FALSE)),"","/"&amp;VLOOKUP($N55,OFFSET(選手情報!$A$6:$M$119,AR55,0),13,FALSE)),"")</f>
        <v/>
      </c>
      <c r="AT55" s="127" t="str">
        <f ca="1">IF(AR55&lt;&gt;"",IF(ISNA(VLOOKUP($N55,OFFSET(選手情報!$A$6:$BD$119,AR55,0),56,FALSE)),"",VLOOKUP($N55,OFFSET(選手情報!$A$6:$BD$119,AR55,0),56,FALSE)),"")</f>
        <v/>
      </c>
      <c r="AU55" s="127" t="str">
        <f ca="1">IF(AT55&lt;&gt;"",IF(ISNA(VLOOKUP($N55,OFFSET(選手情報!$A$6:$M$119,AT55,0),13,FALSE)),"","/"&amp;VLOOKUP($N55,OFFSET(選手情報!$A$6:$M$119,AT55,0),13,FALSE)),"")</f>
        <v/>
      </c>
      <c r="AV55" s="127" t="str">
        <f ca="1">IF(AT55&lt;&gt;"",IF(ISNA(VLOOKUP($N55,OFFSET(選手情報!$A$6:$BD$119,AT55,0),56,FALSE)),"",VLOOKUP($N55,OFFSET(選手情報!$A$6:$BD$119,AT55,0),56,FALSE)),"")</f>
        <v/>
      </c>
      <c r="AW55" s="127" t="str">
        <f ca="1">IF(AV55&lt;&gt;"",IF(ISNA(VLOOKUP($N55,OFFSET(選手情報!$A$6:$M$119,AV55,0),13,FALSE)),"","/"&amp;VLOOKUP($N55,OFFSET(選手情報!$A$6:$M$119,AV55,0),13,FALSE)),"")</f>
        <v/>
      </c>
      <c r="AX55" s="127" t="str">
        <f ca="1">IF(AV55&lt;&gt;"",IF(ISNA(VLOOKUP($N55,OFFSET(選手情報!$A$6:$BD$119,AV55,0),56,FALSE)),"",VLOOKUP($N55,OFFSET(選手情報!$A$6:$BD$119,AV55,0),56,FALSE)),"")</f>
        <v/>
      </c>
      <c r="AY55" s="127" t="str">
        <f ca="1">IF(AX55&lt;&gt;"",IF(ISNA(VLOOKUP($N55,OFFSET(選手情報!$A$6:$M$119,AX55,0),13,FALSE)),"","/"&amp;VLOOKUP($N55,OFFSET(選手情報!$A$6:$M$119,AX55,0),13,FALSE)),"")</f>
        <v/>
      </c>
      <c r="AZ55" s="127" t="str">
        <f ca="1">IF(AX55&lt;&gt;"",IF(ISNA(VLOOKUP($N55,OFFSET(選手情報!$A$6:$BD$119,AX55,0),56,FALSE)),"",VLOOKUP($N55,OFFSET(選手情報!$A$6:$BD$119,AX55,0),56,FALSE)),"")</f>
        <v/>
      </c>
      <c r="BA55" s="127" t="str">
        <f ca="1">IF(AZ55&lt;&gt;"",IF(ISNA(VLOOKUP($N55,OFFSET(選手情報!$A$6:$M$119,AZ55,0),13,FALSE)),"","/"&amp;VLOOKUP($N55,OFFSET(選手情報!$A$6:$M$119,AZ55,0),13,FALSE)),"")</f>
        <v/>
      </c>
      <c r="BB55" s="127" t="str">
        <f ca="1">IF(AZ55&lt;&gt;"",IF(ISNA(VLOOKUP($N55,OFFSET(選手情報!$A$6:$BD$119,AZ55,0),56,FALSE)),"",VLOOKUP($N55,OFFSET(選手情報!$A$6:$BD$119,AZ55,0),56,FALSE)),"")</f>
        <v/>
      </c>
      <c r="BC55" s="127" t="str">
        <f ca="1">IF(BB55&lt;&gt;"",IF(ISNA(VLOOKUP($N55,OFFSET(選手情報!$A$6:$M$119,BB55,0),13,FALSE)),"","/"&amp;VLOOKUP($N55,OFFSET(選手情報!$A$6:$M$119,BB55,0),13,FALSE)),"")</f>
        <v/>
      </c>
      <c r="BD55" s="127" t="str">
        <f ca="1">IF(BB55&lt;&gt;"",IF(ISNA(VLOOKUP($N55,OFFSET(選手情報!$A$6:$BD$119,BB55,0),56,FALSE)),"",VLOOKUP($N55,OFFSET(選手情報!$A$6:$BD$119,BB55,0),56,FALSE)),"")</f>
        <v/>
      </c>
      <c r="BE55" s="127" t="str">
        <f ca="1">IF(BD55&lt;&gt;"",IF(ISNA(VLOOKUP($N55,OFFSET(選手情報!$A$6:$M$119,BD55,0),13,FALSE)),"","/"&amp;VLOOKUP($N55,OFFSET(選手情報!$A$6:$M$119,BD55,0),13,FALSE)),"")</f>
        <v/>
      </c>
      <c r="BF55" s="127" t="str">
        <f ca="1">IF(BD55&lt;&gt;"",IF(ISNA(VLOOKUP($N55,OFFSET(選手情報!$A$6:$BD$119,BD55,0),56,FALSE)),"",VLOOKUP($N55,OFFSET(選手情報!$A$6:$BD$119,BD55,0),56,FALSE)),"")</f>
        <v/>
      </c>
      <c r="BG55" s="127" t="str">
        <f ca="1">IF(BF55&lt;&gt;"",IF(ISNA(VLOOKUP($N55,OFFSET(選手情報!$A$6:$M$119,BF55,0),13,FALSE)),"","/"&amp;VLOOKUP($N55,OFFSET(選手情報!$A$6:$M$119,BF55,0),13,FALSE)),"")</f>
        <v/>
      </c>
      <c r="BH55" s="127" t="str">
        <f ca="1">IF(BF55&lt;&gt;"",IF(ISNA(VLOOKUP($N55,OFFSET(選手情報!$A$6:$BD$119,BF55,0),56,FALSE)),"",VLOOKUP($N55,OFFSET(選手情報!$A$6:$BD$119,BF55,0),56,FALSE)),"")</f>
        <v/>
      </c>
      <c r="BI55" s="127" t="str">
        <f ca="1">IF(BH55&lt;&gt;"",IF(ISNA(VLOOKUP($N55,OFFSET(選手情報!$A$6:$M$119,BH55,0),13,FALSE)),"","/"&amp;VLOOKUP($N55,OFFSET(選手情報!$A$6:$M$119,BH55,0),13,FALSE)),"")</f>
        <v/>
      </c>
    </row>
    <row r="56" spans="1:61" s="127" customFormat="1" ht="12.6" customHeight="1">
      <c r="A56" s="128" t="str">
        <f>IF(ISNA(VLOOKUP($C$2&amp;N56,選手データ!A:H,3,FALSE)),"",IF(M56&lt;&gt;M55,VLOOKUP($C$2&amp;N56,選手データ!A:H,3,FALSE),""))</f>
        <v/>
      </c>
      <c r="B56" s="129" t="str">
        <f>IF(A56&lt;&gt;"",VLOOKUP($C$2&amp;N56,選手データ!A:H,4,FALSE),"")</f>
        <v/>
      </c>
      <c r="C56" s="129" t="str">
        <f>IF(A56&lt;&gt;"",VLOOKUP($C$2&amp;N56,選手データ!A:H,5,FALSE),"")</f>
        <v/>
      </c>
      <c r="D56" s="129" t="str">
        <f>IF(A56&lt;&gt;"",VLOOKUP($C$2&amp;N56,選手データ!A:H,6,FALSE),"")</f>
        <v/>
      </c>
      <c r="E56" s="129" t="str">
        <f>IF(A56&lt;&gt;"",VLOOKUP($C$2&amp;N56,選手データ!A:H,7,FALSE),"")</f>
        <v/>
      </c>
      <c r="F56" s="130" t="str">
        <f>IF(A56&lt;&gt;"",VLOOKUP($C$2&amp;N56,選手データ!A:H,8,FALSE),"")</f>
        <v/>
      </c>
      <c r="G56" s="130" t="str">
        <f>IF(F56&lt;&gt;"",IF(DATEDIF(F56,設定!$B$12,"Y")&lt;20,"〇",""),"")</f>
        <v/>
      </c>
      <c r="H56" s="131" t="str">
        <f t="shared" ca="1" si="0"/>
        <v/>
      </c>
      <c r="I56" s="132" t="str">
        <f t="shared" ca="1" si="1"/>
        <v/>
      </c>
      <c r="J56" s="131" t="str">
        <f t="shared" ca="1" si="2"/>
        <v/>
      </c>
      <c r="K56" s="130" t="str">
        <f>IF(A56&lt;&gt;"",IF(COUNTIF(リレーチーム情報!$B$5:$B$10,A56&amp;E56)=1,"〇",""),"")</f>
        <v/>
      </c>
      <c r="L56" s="133" t="str">
        <f>IF(A56&lt;&gt;"",IF(COUNTIF(リレーチーム情報!$B$11:$B$16,A56&amp;E56)=1,"〇",""),"")</f>
        <v/>
      </c>
      <c r="M56" s="127">
        <f>IF(学校情報!$A$4&lt;&gt;"",0,IF(S55=0,MAX($M$37:M55)+1,M55))</f>
        <v>0</v>
      </c>
      <c r="N56" s="127" t="str">
        <f>IF(M56&lt;&gt;0,VLOOKUP(M56,選手情報!BF:BG,2,FALSE),"")</f>
        <v/>
      </c>
      <c r="O56" s="127" t="str">
        <f ca="1">IF(M56&lt;&gt;0,VLOOKUP(N56,OFFSET(選手情報!$A$6:$W$119,IF(M56&lt;&gt;M55,0,R55),0),13,FALSE),"")</f>
        <v/>
      </c>
      <c r="P56" s="127" t="str">
        <f ca="1">IF(M56&lt;&gt;0,VLOOKUP(N56,OFFSET(選手情報!$A$6:$W$119,IF(M56&lt;&gt;M55,0,R55),0),16,FALSE),"")</f>
        <v/>
      </c>
      <c r="Q56" s="127" t="str">
        <f ca="1">IF(M56&lt;&gt;0,VLOOKUP(N56,OFFSET(選手情報!$A$6:$W$119,IF(M56&lt;&gt;M55,0,R55),0),21,FALSE),"")</f>
        <v/>
      </c>
      <c r="R56" s="127">
        <f ca="1">IF(M56&lt;&gt;0,VLOOKUP(N56,OFFSET(選手情報!$A$6:$BD$119,IF(M56&lt;&gt;M55,0,R55),0),56,FALSE),0)</f>
        <v>0</v>
      </c>
      <c r="S56" s="127">
        <f ca="1">IF(M56&lt;&gt;0,IF(ISNA(R56),0,COUNTIF(OFFSET(選手情報!$A$6:$A$119,R56,0),N56)),0)</f>
        <v>0</v>
      </c>
      <c r="U56" s="127">
        <f t="shared" si="3"/>
        <v>0</v>
      </c>
      <c r="V56" s="127">
        <f t="shared" ca="1" si="4"/>
        <v>1</v>
      </c>
      <c r="W56" s="127">
        <f t="shared" ca="1" si="5"/>
        <v>0</v>
      </c>
      <c r="X56" s="127" t="str">
        <f t="shared" ca="1" si="6"/>
        <v/>
      </c>
      <c r="Y56" s="127" t="str">
        <f>IF($A56&lt;&gt;"",IF(ISNA(VLOOKUP($N56,選手情報!$A$6:$M$119,13,FALSE)),"","/"&amp;VLOOKUP($N56,選手情報!$A$6:$M$119,13,FALSE)),"")</f>
        <v/>
      </c>
      <c r="Z56" s="127" t="str">
        <f ca="1">IF(Y56&lt;&gt;"",IF(ISNA(VLOOKUP($N56,OFFSET(選手情報!$A$6:$BD$119,0,0),56,FALSE)),"",VLOOKUP($N56,OFFSET(選手情報!$A$6:$BD$119,0,0),56,FALSE)),"")</f>
        <v/>
      </c>
      <c r="AA56" s="127" t="str">
        <f ca="1">IF(Z56&lt;&gt;"",IF(ISNA(VLOOKUP($N56,OFFSET(選手情報!$A$6:$M$119,Z56,0),13,FALSE)),"","/"&amp;VLOOKUP($N56,OFFSET(選手情報!$A$6:$M$119,Z56,0),13,FALSE)),"")</f>
        <v/>
      </c>
      <c r="AB56" s="127" t="str">
        <f ca="1">IF(Z56&lt;&gt;"",IF(ISNA(VLOOKUP($N56,OFFSET(選手情報!$A$6:$BD$119,Z56,0),56,FALSE)),"",VLOOKUP($N56,OFFSET(選手情報!$A$6:$BD$119,Z56,0),56,FALSE)),"")</f>
        <v/>
      </c>
      <c r="AC56" s="127" t="str">
        <f ca="1">IF(AB56&lt;&gt;"",IF(ISNA(VLOOKUP($N56,OFFSET(選手情報!$A$6:$M$119,AB56,0),13,FALSE)),"","/"&amp;VLOOKUP($N56,OFFSET(選手情報!$A$6:$M$119,AB56,0),13,FALSE)),"")</f>
        <v/>
      </c>
      <c r="AD56" s="127" t="str">
        <f ca="1">IF(AB56&lt;&gt;"",IF(ISNA(VLOOKUP($N56,OFFSET(選手情報!$A$6:$BD$119,AB56,0),56,FALSE)),"",VLOOKUP($N56,OFFSET(選手情報!$A$6:$BD$119,AB56,0),56,FALSE)),"")</f>
        <v/>
      </c>
      <c r="AE56" s="127" t="str">
        <f ca="1">IF(AD56&lt;&gt;"",IF(ISNA(VLOOKUP($N56,OFFSET(選手情報!$A$6:$M$119,AD56,0),13,FALSE)),"","/"&amp;VLOOKUP($N56,OFFSET(選手情報!$A$6:$M$119,AD56,0),13,FALSE)),"")</f>
        <v/>
      </c>
      <c r="AF56" s="127" t="str">
        <f ca="1">IF(AD56&lt;&gt;"",IF(ISNA(VLOOKUP($N56,OFFSET(選手情報!$A$6:$BD$119,AD56,0),56,FALSE)),"",VLOOKUP($N56,OFFSET(選手情報!$A$6:$BD$119,AD56,0),56,FALSE)),"")</f>
        <v/>
      </c>
      <c r="AG56" s="127" t="str">
        <f ca="1">IF(AF56&lt;&gt;"",IF(ISNA(VLOOKUP($N56,OFFSET(選手情報!$A$6:$M$119,AF56,0),13,FALSE)),"","/"&amp;VLOOKUP($N56,OFFSET(選手情報!$A$6:$M$119,AF56,0),13,FALSE)),"")</f>
        <v/>
      </c>
      <c r="AH56" s="127" t="str">
        <f ca="1">IF(AF56&lt;&gt;"",IF(ISNA(VLOOKUP($N56,OFFSET(選手情報!$A$6:$BD$119,AF56,0),56,FALSE)),"",VLOOKUP($N56,OFFSET(選手情報!$A$6:$BD$119,AF56,0),56,FALSE)),"")</f>
        <v/>
      </c>
      <c r="AI56" s="127" t="str">
        <f ca="1">IF(AH56&lt;&gt;"",IF(ISNA(VLOOKUP($N56,OFFSET(選手情報!$A$6:$M$119,AH56,0),13,FALSE)),"","/"&amp;VLOOKUP($N56,OFFSET(選手情報!$A$6:$M$119,AH56,0),13,FALSE)),"")</f>
        <v/>
      </c>
      <c r="AJ56" s="127" t="str">
        <f ca="1">IF(AH56&lt;&gt;"",IF(ISNA(VLOOKUP($N56,OFFSET(選手情報!$A$6:$BD$119,AH56,0),56,FALSE)),"",VLOOKUP($N56,OFFSET(選手情報!$A$6:$BD$119,AH56,0),56,FALSE)),"")</f>
        <v/>
      </c>
      <c r="AK56" s="127" t="str">
        <f ca="1">IF(AJ56&lt;&gt;"",IF(ISNA(VLOOKUP($N56,OFFSET(選手情報!$A$6:$M$119,AJ56,0),13,FALSE)),"","/"&amp;VLOOKUP($N56,OFFSET(選手情報!$A$6:$M$119,AJ56,0),13,FALSE)),"")</f>
        <v/>
      </c>
      <c r="AL56" s="127" t="str">
        <f ca="1">IF(AJ56&lt;&gt;"",IF(ISNA(VLOOKUP($N56,OFFSET(選手情報!$A$6:$BD$119,AJ56,0),56,FALSE)),"",VLOOKUP($N56,OFFSET(選手情報!$A$6:$BD$119,AJ56,0),56,FALSE)),"")</f>
        <v/>
      </c>
      <c r="AM56" s="127" t="str">
        <f ca="1">IF(AL56&lt;&gt;"",IF(ISNA(VLOOKUP($N56,OFFSET(選手情報!$A$6:$M$119,AL56,0),13,FALSE)),"","/"&amp;VLOOKUP($N56,OFFSET(選手情報!$A$6:$M$119,AL56,0),13,FALSE)),"")</f>
        <v/>
      </c>
      <c r="AN56" s="127" t="str">
        <f ca="1">IF(AL56&lt;&gt;"",IF(ISNA(VLOOKUP($N56,OFFSET(選手情報!$A$6:$BD$119,AL56,0),56,FALSE)),"",VLOOKUP($N56,OFFSET(選手情報!$A$6:$BD$119,AL56,0),56,FALSE)),"")</f>
        <v/>
      </c>
      <c r="AO56" s="127" t="str">
        <f ca="1">IF(AN56&lt;&gt;"",IF(ISNA(VLOOKUP($N56,OFFSET(選手情報!$A$6:$M$119,AN56,0),13,FALSE)),"","/"&amp;VLOOKUP($N56,OFFSET(選手情報!$A$6:$M$119,AN56,0),13,FALSE)),"")</f>
        <v/>
      </c>
      <c r="AP56" s="127" t="str">
        <f ca="1">IF(AN56&lt;&gt;"",IF(ISNA(VLOOKUP($N56,OFFSET(選手情報!$A$6:$BD$119,AN56,0),56,FALSE)),"",VLOOKUP($N56,OFFSET(選手情報!$A$6:$BD$119,AN56,0),56,FALSE)),"")</f>
        <v/>
      </c>
      <c r="AQ56" s="127" t="str">
        <f ca="1">IF(AP56&lt;&gt;"",IF(ISNA(VLOOKUP($N56,OFFSET(選手情報!$A$6:$M$119,AP56,0),13,FALSE)),"","/"&amp;VLOOKUP($N56,OFFSET(選手情報!$A$6:$M$119,AP56,0),13,FALSE)),"")</f>
        <v/>
      </c>
      <c r="AR56" s="127" t="str">
        <f ca="1">IF(AP56&lt;&gt;"",IF(ISNA(VLOOKUP($N56,OFFSET(選手情報!$A$6:$BD$119,AP56,0),56,FALSE)),"",VLOOKUP($N56,OFFSET(選手情報!$A$6:$BD$119,AP56,0),56,FALSE)),"")</f>
        <v/>
      </c>
      <c r="AS56" s="127" t="str">
        <f ca="1">IF(AR56&lt;&gt;"",IF(ISNA(VLOOKUP($N56,OFFSET(選手情報!$A$6:$M$119,AR56,0),13,FALSE)),"","/"&amp;VLOOKUP($N56,OFFSET(選手情報!$A$6:$M$119,AR56,0),13,FALSE)),"")</f>
        <v/>
      </c>
      <c r="AT56" s="127" t="str">
        <f ca="1">IF(AR56&lt;&gt;"",IF(ISNA(VLOOKUP($N56,OFFSET(選手情報!$A$6:$BD$119,AR56,0),56,FALSE)),"",VLOOKUP($N56,OFFSET(選手情報!$A$6:$BD$119,AR56,0),56,FALSE)),"")</f>
        <v/>
      </c>
      <c r="AU56" s="127" t="str">
        <f ca="1">IF(AT56&lt;&gt;"",IF(ISNA(VLOOKUP($N56,OFFSET(選手情報!$A$6:$M$119,AT56,0),13,FALSE)),"","/"&amp;VLOOKUP($N56,OFFSET(選手情報!$A$6:$M$119,AT56,0),13,FALSE)),"")</f>
        <v/>
      </c>
      <c r="AV56" s="127" t="str">
        <f ca="1">IF(AT56&lt;&gt;"",IF(ISNA(VLOOKUP($N56,OFFSET(選手情報!$A$6:$BD$119,AT56,0),56,FALSE)),"",VLOOKUP($N56,OFFSET(選手情報!$A$6:$BD$119,AT56,0),56,FALSE)),"")</f>
        <v/>
      </c>
      <c r="AW56" s="127" t="str">
        <f ca="1">IF(AV56&lt;&gt;"",IF(ISNA(VLOOKUP($N56,OFFSET(選手情報!$A$6:$M$119,AV56,0),13,FALSE)),"","/"&amp;VLOOKUP($N56,OFFSET(選手情報!$A$6:$M$119,AV56,0),13,FALSE)),"")</f>
        <v/>
      </c>
      <c r="AX56" s="127" t="str">
        <f ca="1">IF(AV56&lt;&gt;"",IF(ISNA(VLOOKUP($N56,OFFSET(選手情報!$A$6:$BD$119,AV56,0),56,FALSE)),"",VLOOKUP($N56,OFFSET(選手情報!$A$6:$BD$119,AV56,0),56,FALSE)),"")</f>
        <v/>
      </c>
      <c r="AY56" s="127" t="str">
        <f ca="1">IF(AX56&lt;&gt;"",IF(ISNA(VLOOKUP($N56,OFFSET(選手情報!$A$6:$M$119,AX56,0),13,FALSE)),"","/"&amp;VLOOKUP($N56,OFFSET(選手情報!$A$6:$M$119,AX56,0),13,FALSE)),"")</f>
        <v/>
      </c>
      <c r="AZ56" s="127" t="str">
        <f ca="1">IF(AX56&lt;&gt;"",IF(ISNA(VLOOKUP($N56,OFFSET(選手情報!$A$6:$BD$119,AX56,0),56,FALSE)),"",VLOOKUP($N56,OFFSET(選手情報!$A$6:$BD$119,AX56,0),56,FALSE)),"")</f>
        <v/>
      </c>
      <c r="BA56" s="127" t="str">
        <f ca="1">IF(AZ56&lt;&gt;"",IF(ISNA(VLOOKUP($N56,OFFSET(選手情報!$A$6:$M$119,AZ56,0),13,FALSE)),"","/"&amp;VLOOKUP($N56,OFFSET(選手情報!$A$6:$M$119,AZ56,0),13,FALSE)),"")</f>
        <v/>
      </c>
      <c r="BB56" s="127" t="str">
        <f ca="1">IF(AZ56&lt;&gt;"",IF(ISNA(VLOOKUP($N56,OFFSET(選手情報!$A$6:$BD$119,AZ56,0),56,FALSE)),"",VLOOKUP($N56,OFFSET(選手情報!$A$6:$BD$119,AZ56,0),56,FALSE)),"")</f>
        <v/>
      </c>
      <c r="BC56" s="127" t="str">
        <f ca="1">IF(BB56&lt;&gt;"",IF(ISNA(VLOOKUP($N56,OFFSET(選手情報!$A$6:$M$119,BB56,0),13,FALSE)),"","/"&amp;VLOOKUP($N56,OFFSET(選手情報!$A$6:$M$119,BB56,0),13,FALSE)),"")</f>
        <v/>
      </c>
      <c r="BD56" s="127" t="str">
        <f ca="1">IF(BB56&lt;&gt;"",IF(ISNA(VLOOKUP($N56,OFFSET(選手情報!$A$6:$BD$119,BB56,0),56,FALSE)),"",VLOOKUP($N56,OFFSET(選手情報!$A$6:$BD$119,BB56,0),56,FALSE)),"")</f>
        <v/>
      </c>
      <c r="BE56" s="127" t="str">
        <f ca="1">IF(BD56&lt;&gt;"",IF(ISNA(VLOOKUP($N56,OFFSET(選手情報!$A$6:$M$119,BD56,0),13,FALSE)),"","/"&amp;VLOOKUP($N56,OFFSET(選手情報!$A$6:$M$119,BD56,0),13,FALSE)),"")</f>
        <v/>
      </c>
      <c r="BF56" s="127" t="str">
        <f ca="1">IF(BD56&lt;&gt;"",IF(ISNA(VLOOKUP($N56,OFFSET(選手情報!$A$6:$BD$119,BD56,0),56,FALSE)),"",VLOOKUP($N56,OFFSET(選手情報!$A$6:$BD$119,BD56,0),56,FALSE)),"")</f>
        <v/>
      </c>
      <c r="BG56" s="127" t="str">
        <f ca="1">IF(BF56&lt;&gt;"",IF(ISNA(VLOOKUP($N56,OFFSET(選手情報!$A$6:$M$119,BF56,0),13,FALSE)),"","/"&amp;VLOOKUP($N56,OFFSET(選手情報!$A$6:$M$119,BF56,0),13,FALSE)),"")</f>
        <v/>
      </c>
      <c r="BH56" s="127" t="str">
        <f ca="1">IF(BF56&lt;&gt;"",IF(ISNA(VLOOKUP($N56,OFFSET(選手情報!$A$6:$BD$119,BF56,0),56,FALSE)),"",VLOOKUP($N56,OFFSET(選手情報!$A$6:$BD$119,BF56,0),56,FALSE)),"")</f>
        <v/>
      </c>
      <c r="BI56" s="127" t="str">
        <f ca="1">IF(BH56&lt;&gt;"",IF(ISNA(VLOOKUP($N56,OFFSET(選手情報!$A$6:$M$119,BH56,0),13,FALSE)),"","/"&amp;VLOOKUP($N56,OFFSET(選手情報!$A$6:$M$119,BH56,0),13,FALSE)),"")</f>
        <v/>
      </c>
    </row>
    <row r="57" spans="1:61" s="127" customFormat="1" ht="12.6" customHeight="1">
      <c r="A57" s="128" t="str">
        <f>IF(ISNA(VLOOKUP($C$2&amp;N57,選手データ!A:H,3,FALSE)),"",IF(M57&lt;&gt;M56,VLOOKUP($C$2&amp;N57,選手データ!A:H,3,FALSE),""))</f>
        <v/>
      </c>
      <c r="B57" s="129" t="str">
        <f>IF(A57&lt;&gt;"",VLOOKUP($C$2&amp;N57,選手データ!A:H,4,FALSE),"")</f>
        <v/>
      </c>
      <c r="C57" s="129" t="str">
        <f>IF(A57&lt;&gt;"",VLOOKUP($C$2&amp;N57,選手データ!A:H,5,FALSE),"")</f>
        <v/>
      </c>
      <c r="D57" s="129" t="str">
        <f>IF(A57&lt;&gt;"",VLOOKUP($C$2&amp;N57,選手データ!A:H,6,FALSE),"")</f>
        <v/>
      </c>
      <c r="E57" s="129" t="str">
        <f>IF(A57&lt;&gt;"",VLOOKUP($C$2&amp;N57,選手データ!A:H,7,FALSE),"")</f>
        <v/>
      </c>
      <c r="F57" s="130" t="str">
        <f>IF(A57&lt;&gt;"",VLOOKUP($C$2&amp;N57,選手データ!A:H,8,FALSE),"")</f>
        <v/>
      </c>
      <c r="G57" s="130" t="str">
        <f>IF(F57&lt;&gt;"",IF(DATEDIF(F57,設定!$B$12,"Y")&lt;20,"〇",""),"")</f>
        <v/>
      </c>
      <c r="H57" s="131" t="str">
        <f t="shared" ca="1" si="0"/>
        <v/>
      </c>
      <c r="I57" s="132" t="str">
        <f t="shared" ca="1" si="1"/>
        <v/>
      </c>
      <c r="J57" s="131" t="str">
        <f t="shared" ca="1" si="2"/>
        <v/>
      </c>
      <c r="K57" s="130" t="str">
        <f>IF(A57&lt;&gt;"",IF(COUNTIF(リレーチーム情報!$B$5:$B$10,A57&amp;E57)=1,"〇",""),"")</f>
        <v/>
      </c>
      <c r="L57" s="133" t="str">
        <f>IF(A57&lt;&gt;"",IF(COUNTIF(リレーチーム情報!$B$11:$B$16,A57&amp;E57)=1,"〇",""),"")</f>
        <v/>
      </c>
      <c r="M57" s="127">
        <f>IF(学校情報!$A$4&lt;&gt;"",0,IF(S56=0,MAX($M$37:M56)+1,M56))</f>
        <v>0</v>
      </c>
      <c r="N57" s="127" t="str">
        <f>IF(M57&lt;&gt;0,VLOOKUP(M57,選手情報!BF:BG,2,FALSE),"")</f>
        <v/>
      </c>
      <c r="O57" s="127" t="str">
        <f ca="1">IF(M57&lt;&gt;0,VLOOKUP(N57,OFFSET(選手情報!$A$6:$W$119,IF(M57&lt;&gt;M56,0,R56),0),13,FALSE),"")</f>
        <v/>
      </c>
      <c r="P57" s="127" t="str">
        <f ca="1">IF(M57&lt;&gt;0,VLOOKUP(N57,OFFSET(選手情報!$A$6:$W$119,IF(M57&lt;&gt;M56,0,R56),0),16,FALSE),"")</f>
        <v/>
      </c>
      <c r="Q57" s="127" t="str">
        <f ca="1">IF(M57&lt;&gt;0,VLOOKUP(N57,OFFSET(選手情報!$A$6:$W$119,IF(M57&lt;&gt;M56,0,R56),0),21,FALSE),"")</f>
        <v/>
      </c>
      <c r="R57" s="127">
        <f ca="1">IF(M57&lt;&gt;0,VLOOKUP(N57,OFFSET(選手情報!$A$6:$BD$119,IF(M57&lt;&gt;M56,0,R56),0),56,FALSE),0)</f>
        <v>0</v>
      </c>
      <c r="S57" s="127">
        <f ca="1">IF(M57&lt;&gt;0,IF(ISNA(R57),0,COUNTIF(OFFSET(選手情報!$A$6:$A$119,R57,0),N57)),0)</f>
        <v>0</v>
      </c>
      <c r="U57" s="127">
        <f t="shared" si="3"/>
        <v>0</v>
      </c>
      <c r="V57" s="127">
        <f t="shared" ca="1" si="4"/>
        <v>1</v>
      </c>
      <c r="W57" s="127">
        <f t="shared" ca="1" si="5"/>
        <v>0</v>
      </c>
      <c r="X57" s="127" t="str">
        <f t="shared" ca="1" si="6"/>
        <v/>
      </c>
      <c r="Y57" s="127" t="str">
        <f>IF($A57&lt;&gt;"",IF(ISNA(VLOOKUP($N57,選手情報!$A$6:$M$119,13,FALSE)),"","/"&amp;VLOOKUP($N57,選手情報!$A$6:$M$119,13,FALSE)),"")</f>
        <v/>
      </c>
      <c r="Z57" s="127" t="str">
        <f ca="1">IF(Y57&lt;&gt;"",IF(ISNA(VLOOKUP($N57,OFFSET(選手情報!$A$6:$BD$119,0,0),56,FALSE)),"",VLOOKUP($N57,OFFSET(選手情報!$A$6:$BD$119,0,0),56,FALSE)),"")</f>
        <v/>
      </c>
      <c r="AA57" s="127" t="str">
        <f ca="1">IF(Z57&lt;&gt;"",IF(ISNA(VLOOKUP($N57,OFFSET(選手情報!$A$6:$M$119,Z57,0),13,FALSE)),"","/"&amp;VLOOKUP($N57,OFFSET(選手情報!$A$6:$M$119,Z57,0),13,FALSE)),"")</f>
        <v/>
      </c>
      <c r="AB57" s="127" t="str">
        <f ca="1">IF(Z57&lt;&gt;"",IF(ISNA(VLOOKUP($N57,OFFSET(選手情報!$A$6:$BD$119,Z57,0),56,FALSE)),"",VLOOKUP($N57,OFFSET(選手情報!$A$6:$BD$119,Z57,0),56,FALSE)),"")</f>
        <v/>
      </c>
      <c r="AC57" s="127" t="str">
        <f ca="1">IF(AB57&lt;&gt;"",IF(ISNA(VLOOKUP($N57,OFFSET(選手情報!$A$6:$M$119,AB57,0),13,FALSE)),"","/"&amp;VLOOKUP($N57,OFFSET(選手情報!$A$6:$M$119,AB57,0),13,FALSE)),"")</f>
        <v/>
      </c>
      <c r="AD57" s="127" t="str">
        <f ca="1">IF(AB57&lt;&gt;"",IF(ISNA(VLOOKUP($N57,OFFSET(選手情報!$A$6:$BD$119,AB57,0),56,FALSE)),"",VLOOKUP($N57,OFFSET(選手情報!$A$6:$BD$119,AB57,0),56,FALSE)),"")</f>
        <v/>
      </c>
      <c r="AE57" s="127" t="str">
        <f ca="1">IF(AD57&lt;&gt;"",IF(ISNA(VLOOKUP($N57,OFFSET(選手情報!$A$6:$M$119,AD57,0),13,FALSE)),"","/"&amp;VLOOKUP($N57,OFFSET(選手情報!$A$6:$M$119,AD57,0),13,FALSE)),"")</f>
        <v/>
      </c>
      <c r="AF57" s="127" t="str">
        <f ca="1">IF(AD57&lt;&gt;"",IF(ISNA(VLOOKUP($N57,OFFSET(選手情報!$A$6:$BD$119,AD57,0),56,FALSE)),"",VLOOKUP($N57,OFFSET(選手情報!$A$6:$BD$119,AD57,0),56,FALSE)),"")</f>
        <v/>
      </c>
      <c r="AG57" s="127" t="str">
        <f ca="1">IF(AF57&lt;&gt;"",IF(ISNA(VLOOKUP($N57,OFFSET(選手情報!$A$6:$M$119,AF57,0),13,FALSE)),"","/"&amp;VLOOKUP($N57,OFFSET(選手情報!$A$6:$M$119,AF57,0),13,FALSE)),"")</f>
        <v/>
      </c>
      <c r="AH57" s="127" t="str">
        <f ca="1">IF(AF57&lt;&gt;"",IF(ISNA(VLOOKUP($N57,OFFSET(選手情報!$A$6:$BD$119,AF57,0),56,FALSE)),"",VLOOKUP($N57,OFFSET(選手情報!$A$6:$BD$119,AF57,0),56,FALSE)),"")</f>
        <v/>
      </c>
      <c r="AI57" s="127" t="str">
        <f ca="1">IF(AH57&lt;&gt;"",IF(ISNA(VLOOKUP($N57,OFFSET(選手情報!$A$6:$M$119,AH57,0),13,FALSE)),"","/"&amp;VLOOKUP($N57,OFFSET(選手情報!$A$6:$M$119,AH57,0),13,FALSE)),"")</f>
        <v/>
      </c>
      <c r="AJ57" s="127" t="str">
        <f ca="1">IF(AH57&lt;&gt;"",IF(ISNA(VLOOKUP($N57,OFFSET(選手情報!$A$6:$BD$119,AH57,0),56,FALSE)),"",VLOOKUP($N57,OFFSET(選手情報!$A$6:$BD$119,AH57,0),56,FALSE)),"")</f>
        <v/>
      </c>
      <c r="AK57" s="127" t="str">
        <f ca="1">IF(AJ57&lt;&gt;"",IF(ISNA(VLOOKUP($N57,OFFSET(選手情報!$A$6:$M$119,AJ57,0),13,FALSE)),"","/"&amp;VLOOKUP($N57,OFFSET(選手情報!$A$6:$M$119,AJ57,0),13,FALSE)),"")</f>
        <v/>
      </c>
      <c r="AL57" s="127" t="str">
        <f ca="1">IF(AJ57&lt;&gt;"",IF(ISNA(VLOOKUP($N57,OFFSET(選手情報!$A$6:$BD$119,AJ57,0),56,FALSE)),"",VLOOKUP($N57,OFFSET(選手情報!$A$6:$BD$119,AJ57,0),56,FALSE)),"")</f>
        <v/>
      </c>
      <c r="AM57" s="127" t="str">
        <f ca="1">IF(AL57&lt;&gt;"",IF(ISNA(VLOOKUP($N57,OFFSET(選手情報!$A$6:$M$119,AL57,0),13,FALSE)),"","/"&amp;VLOOKUP($N57,OFFSET(選手情報!$A$6:$M$119,AL57,0),13,FALSE)),"")</f>
        <v/>
      </c>
      <c r="AN57" s="127" t="str">
        <f ca="1">IF(AL57&lt;&gt;"",IF(ISNA(VLOOKUP($N57,OFFSET(選手情報!$A$6:$BD$119,AL57,0),56,FALSE)),"",VLOOKUP($N57,OFFSET(選手情報!$A$6:$BD$119,AL57,0),56,FALSE)),"")</f>
        <v/>
      </c>
      <c r="AO57" s="127" t="str">
        <f ca="1">IF(AN57&lt;&gt;"",IF(ISNA(VLOOKUP($N57,OFFSET(選手情報!$A$6:$M$119,AN57,0),13,FALSE)),"","/"&amp;VLOOKUP($N57,OFFSET(選手情報!$A$6:$M$119,AN57,0),13,FALSE)),"")</f>
        <v/>
      </c>
      <c r="AP57" s="127" t="str">
        <f ca="1">IF(AN57&lt;&gt;"",IF(ISNA(VLOOKUP($N57,OFFSET(選手情報!$A$6:$BD$119,AN57,0),56,FALSE)),"",VLOOKUP($N57,OFFSET(選手情報!$A$6:$BD$119,AN57,0),56,FALSE)),"")</f>
        <v/>
      </c>
      <c r="AQ57" s="127" t="str">
        <f ca="1">IF(AP57&lt;&gt;"",IF(ISNA(VLOOKUP($N57,OFFSET(選手情報!$A$6:$M$119,AP57,0),13,FALSE)),"","/"&amp;VLOOKUP($N57,OFFSET(選手情報!$A$6:$M$119,AP57,0),13,FALSE)),"")</f>
        <v/>
      </c>
      <c r="AR57" s="127" t="str">
        <f ca="1">IF(AP57&lt;&gt;"",IF(ISNA(VLOOKUP($N57,OFFSET(選手情報!$A$6:$BD$119,AP57,0),56,FALSE)),"",VLOOKUP($N57,OFFSET(選手情報!$A$6:$BD$119,AP57,0),56,FALSE)),"")</f>
        <v/>
      </c>
      <c r="AS57" s="127" t="str">
        <f ca="1">IF(AR57&lt;&gt;"",IF(ISNA(VLOOKUP($N57,OFFSET(選手情報!$A$6:$M$119,AR57,0),13,FALSE)),"","/"&amp;VLOOKUP($N57,OFFSET(選手情報!$A$6:$M$119,AR57,0),13,FALSE)),"")</f>
        <v/>
      </c>
      <c r="AT57" s="127" t="str">
        <f ca="1">IF(AR57&lt;&gt;"",IF(ISNA(VLOOKUP($N57,OFFSET(選手情報!$A$6:$BD$119,AR57,0),56,FALSE)),"",VLOOKUP($N57,OFFSET(選手情報!$A$6:$BD$119,AR57,0),56,FALSE)),"")</f>
        <v/>
      </c>
      <c r="AU57" s="127" t="str">
        <f ca="1">IF(AT57&lt;&gt;"",IF(ISNA(VLOOKUP($N57,OFFSET(選手情報!$A$6:$M$119,AT57,0),13,FALSE)),"","/"&amp;VLOOKUP($N57,OFFSET(選手情報!$A$6:$M$119,AT57,0),13,FALSE)),"")</f>
        <v/>
      </c>
      <c r="AV57" s="127" t="str">
        <f ca="1">IF(AT57&lt;&gt;"",IF(ISNA(VLOOKUP($N57,OFFSET(選手情報!$A$6:$BD$119,AT57,0),56,FALSE)),"",VLOOKUP($N57,OFFSET(選手情報!$A$6:$BD$119,AT57,0),56,FALSE)),"")</f>
        <v/>
      </c>
      <c r="AW57" s="127" t="str">
        <f ca="1">IF(AV57&lt;&gt;"",IF(ISNA(VLOOKUP($N57,OFFSET(選手情報!$A$6:$M$119,AV57,0),13,FALSE)),"","/"&amp;VLOOKUP($N57,OFFSET(選手情報!$A$6:$M$119,AV57,0),13,FALSE)),"")</f>
        <v/>
      </c>
      <c r="AX57" s="127" t="str">
        <f ca="1">IF(AV57&lt;&gt;"",IF(ISNA(VLOOKUP($N57,OFFSET(選手情報!$A$6:$BD$119,AV57,0),56,FALSE)),"",VLOOKUP($N57,OFFSET(選手情報!$A$6:$BD$119,AV57,0),56,FALSE)),"")</f>
        <v/>
      </c>
      <c r="AY57" s="127" t="str">
        <f ca="1">IF(AX57&lt;&gt;"",IF(ISNA(VLOOKUP($N57,OFFSET(選手情報!$A$6:$M$119,AX57,0),13,FALSE)),"","/"&amp;VLOOKUP($N57,OFFSET(選手情報!$A$6:$M$119,AX57,0),13,FALSE)),"")</f>
        <v/>
      </c>
      <c r="AZ57" s="127" t="str">
        <f ca="1">IF(AX57&lt;&gt;"",IF(ISNA(VLOOKUP($N57,OFFSET(選手情報!$A$6:$BD$119,AX57,0),56,FALSE)),"",VLOOKUP($N57,OFFSET(選手情報!$A$6:$BD$119,AX57,0),56,FALSE)),"")</f>
        <v/>
      </c>
      <c r="BA57" s="127" t="str">
        <f ca="1">IF(AZ57&lt;&gt;"",IF(ISNA(VLOOKUP($N57,OFFSET(選手情報!$A$6:$M$119,AZ57,0),13,FALSE)),"","/"&amp;VLOOKUP($N57,OFFSET(選手情報!$A$6:$M$119,AZ57,0),13,FALSE)),"")</f>
        <v/>
      </c>
      <c r="BB57" s="127" t="str">
        <f ca="1">IF(AZ57&lt;&gt;"",IF(ISNA(VLOOKUP($N57,OFFSET(選手情報!$A$6:$BD$119,AZ57,0),56,FALSE)),"",VLOOKUP($N57,OFFSET(選手情報!$A$6:$BD$119,AZ57,0),56,FALSE)),"")</f>
        <v/>
      </c>
      <c r="BC57" s="127" t="str">
        <f ca="1">IF(BB57&lt;&gt;"",IF(ISNA(VLOOKUP($N57,OFFSET(選手情報!$A$6:$M$119,BB57,0),13,FALSE)),"","/"&amp;VLOOKUP($N57,OFFSET(選手情報!$A$6:$M$119,BB57,0),13,FALSE)),"")</f>
        <v/>
      </c>
      <c r="BD57" s="127" t="str">
        <f ca="1">IF(BB57&lt;&gt;"",IF(ISNA(VLOOKUP($N57,OFFSET(選手情報!$A$6:$BD$119,BB57,0),56,FALSE)),"",VLOOKUP($N57,OFFSET(選手情報!$A$6:$BD$119,BB57,0),56,FALSE)),"")</f>
        <v/>
      </c>
      <c r="BE57" s="127" t="str">
        <f ca="1">IF(BD57&lt;&gt;"",IF(ISNA(VLOOKUP($N57,OFFSET(選手情報!$A$6:$M$119,BD57,0),13,FALSE)),"","/"&amp;VLOOKUP($N57,OFFSET(選手情報!$A$6:$M$119,BD57,0),13,FALSE)),"")</f>
        <v/>
      </c>
      <c r="BF57" s="127" t="str">
        <f ca="1">IF(BD57&lt;&gt;"",IF(ISNA(VLOOKUP($N57,OFFSET(選手情報!$A$6:$BD$119,BD57,0),56,FALSE)),"",VLOOKUP($N57,OFFSET(選手情報!$A$6:$BD$119,BD57,0),56,FALSE)),"")</f>
        <v/>
      </c>
      <c r="BG57" s="127" t="str">
        <f ca="1">IF(BF57&lt;&gt;"",IF(ISNA(VLOOKUP($N57,OFFSET(選手情報!$A$6:$M$119,BF57,0),13,FALSE)),"","/"&amp;VLOOKUP($N57,OFFSET(選手情報!$A$6:$M$119,BF57,0),13,FALSE)),"")</f>
        <v/>
      </c>
      <c r="BH57" s="127" t="str">
        <f ca="1">IF(BF57&lt;&gt;"",IF(ISNA(VLOOKUP($N57,OFFSET(選手情報!$A$6:$BD$119,BF57,0),56,FALSE)),"",VLOOKUP($N57,OFFSET(選手情報!$A$6:$BD$119,BF57,0),56,FALSE)),"")</f>
        <v/>
      </c>
      <c r="BI57" s="127" t="str">
        <f ca="1">IF(BH57&lt;&gt;"",IF(ISNA(VLOOKUP($N57,OFFSET(選手情報!$A$6:$M$119,BH57,0),13,FALSE)),"","/"&amp;VLOOKUP($N57,OFFSET(選手情報!$A$6:$M$119,BH57,0),13,FALSE)),"")</f>
        <v/>
      </c>
    </row>
    <row r="58" spans="1:61" s="127" customFormat="1" ht="12.6" customHeight="1">
      <c r="A58" s="128" t="str">
        <f>IF(ISNA(VLOOKUP($C$2&amp;N58,選手データ!A:H,3,FALSE)),"",IF(M58&lt;&gt;M57,VLOOKUP($C$2&amp;N58,選手データ!A:H,3,FALSE),""))</f>
        <v/>
      </c>
      <c r="B58" s="129" t="str">
        <f>IF(A58&lt;&gt;"",VLOOKUP($C$2&amp;N58,選手データ!A:H,4,FALSE),"")</f>
        <v/>
      </c>
      <c r="C58" s="129" t="str">
        <f>IF(A58&lt;&gt;"",VLOOKUP($C$2&amp;N58,選手データ!A:H,5,FALSE),"")</f>
        <v/>
      </c>
      <c r="D58" s="129" t="str">
        <f>IF(A58&lt;&gt;"",VLOOKUP($C$2&amp;N58,選手データ!A:H,6,FALSE),"")</f>
        <v/>
      </c>
      <c r="E58" s="129" t="str">
        <f>IF(A58&lt;&gt;"",VLOOKUP($C$2&amp;N58,選手データ!A:H,7,FALSE),"")</f>
        <v/>
      </c>
      <c r="F58" s="130" t="str">
        <f>IF(A58&lt;&gt;"",VLOOKUP($C$2&amp;N58,選手データ!A:H,8,FALSE),"")</f>
        <v/>
      </c>
      <c r="G58" s="130" t="str">
        <f>IF(F58&lt;&gt;"",IF(DATEDIF(F58,設定!$B$12,"Y")&lt;20,"〇",""),"")</f>
        <v/>
      </c>
      <c r="H58" s="131" t="str">
        <f t="shared" ca="1" si="0"/>
        <v/>
      </c>
      <c r="I58" s="132" t="str">
        <f t="shared" ca="1" si="1"/>
        <v/>
      </c>
      <c r="J58" s="131" t="str">
        <f t="shared" ca="1" si="2"/>
        <v/>
      </c>
      <c r="K58" s="130" t="str">
        <f>IF(A58&lt;&gt;"",IF(COUNTIF(リレーチーム情報!$B$5:$B$10,A58&amp;E58)=1,"〇",""),"")</f>
        <v/>
      </c>
      <c r="L58" s="133" t="str">
        <f>IF(A58&lt;&gt;"",IF(COUNTIF(リレーチーム情報!$B$11:$B$16,A58&amp;E58)=1,"〇",""),"")</f>
        <v/>
      </c>
      <c r="M58" s="127">
        <f>IF(学校情報!$A$4&lt;&gt;"",0,IF(S57=0,MAX($M$37:M57)+1,M57))</f>
        <v>0</v>
      </c>
      <c r="N58" s="127" t="str">
        <f>IF(M58&lt;&gt;0,VLOOKUP(M58,選手情報!BF:BG,2,FALSE),"")</f>
        <v/>
      </c>
      <c r="O58" s="127" t="str">
        <f ca="1">IF(M58&lt;&gt;0,VLOOKUP(N58,OFFSET(選手情報!$A$6:$W$119,IF(M58&lt;&gt;M57,0,R57),0),13,FALSE),"")</f>
        <v/>
      </c>
      <c r="P58" s="127" t="str">
        <f ca="1">IF(M58&lt;&gt;0,VLOOKUP(N58,OFFSET(選手情報!$A$6:$W$119,IF(M58&lt;&gt;M57,0,R57),0),16,FALSE),"")</f>
        <v/>
      </c>
      <c r="Q58" s="127" t="str">
        <f ca="1">IF(M58&lt;&gt;0,VLOOKUP(N58,OFFSET(選手情報!$A$6:$W$119,IF(M58&lt;&gt;M57,0,R57),0),21,FALSE),"")</f>
        <v/>
      </c>
      <c r="R58" s="127">
        <f ca="1">IF(M58&lt;&gt;0,VLOOKUP(N58,OFFSET(選手情報!$A$6:$BD$119,IF(M58&lt;&gt;M57,0,R57),0),56,FALSE),0)</f>
        <v>0</v>
      </c>
      <c r="S58" s="127">
        <f ca="1">IF(M58&lt;&gt;0,IF(ISNA(R58),0,COUNTIF(OFFSET(選手情報!$A$6:$A$119,R58,0),N58)),0)</f>
        <v>0</v>
      </c>
      <c r="U58" s="127">
        <f t="shared" si="3"/>
        <v>0</v>
      </c>
      <c r="V58" s="127">
        <f t="shared" ca="1" si="4"/>
        <v>1</v>
      </c>
      <c r="W58" s="127">
        <f t="shared" ca="1" si="5"/>
        <v>0</v>
      </c>
      <c r="X58" s="127" t="str">
        <f t="shared" ca="1" si="6"/>
        <v/>
      </c>
      <c r="Y58" s="127" t="str">
        <f>IF($A58&lt;&gt;"",IF(ISNA(VLOOKUP($N58,選手情報!$A$6:$M$119,13,FALSE)),"","/"&amp;VLOOKUP($N58,選手情報!$A$6:$M$119,13,FALSE)),"")</f>
        <v/>
      </c>
      <c r="Z58" s="127" t="str">
        <f ca="1">IF(Y58&lt;&gt;"",IF(ISNA(VLOOKUP($N58,OFFSET(選手情報!$A$6:$BD$119,0,0),56,FALSE)),"",VLOOKUP($N58,OFFSET(選手情報!$A$6:$BD$119,0,0),56,FALSE)),"")</f>
        <v/>
      </c>
      <c r="AA58" s="127" t="str">
        <f ca="1">IF(Z58&lt;&gt;"",IF(ISNA(VLOOKUP($N58,OFFSET(選手情報!$A$6:$M$119,Z58,0),13,FALSE)),"","/"&amp;VLOOKUP($N58,OFFSET(選手情報!$A$6:$M$119,Z58,0),13,FALSE)),"")</f>
        <v/>
      </c>
      <c r="AB58" s="127" t="str">
        <f ca="1">IF(Z58&lt;&gt;"",IF(ISNA(VLOOKUP($N58,OFFSET(選手情報!$A$6:$BD$119,Z58,0),56,FALSE)),"",VLOOKUP($N58,OFFSET(選手情報!$A$6:$BD$119,Z58,0),56,FALSE)),"")</f>
        <v/>
      </c>
      <c r="AC58" s="127" t="str">
        <f ca="1">IF(AB58&lt;&gt;"",IF(ISNA(VLOOKUP($N58,OFFSET(選手情報!$A$6:$M$119,AB58,0),13,FALSE)),"","/"&amp;VLOOKUP($N58,OFFSET(選手情報!$A$6:$M$119,AB58,0),13,FALSE)),"")</f>
        <v/>
      </c>
      <c r="AD58" s="127" t="str">
        <f ca="1">IF(AB58&lt;&gt;"",IF(ISNA(VLOOKUP($N58,OFFSET(選手情報!$A$6:$BD$119,AB58,0),56,FALSE)),"",VLOOKUP($N58,OFFSET(選手情報!$A$6:$BD$119,AB58,0),56,FALSE)),"")</f>
        <v/>
      </c>
      <c r="AE58" s="127" t="str">
        <f ca="1">IF(AD58&lt;&gt;"",IF(ISNA(VLOOKUP($N58,OFFSET(選手情報!$A$6:$M$119,AD58,0),13,FALSE)),"","/"&amp;VLOOKUP($N58,OFFSET(選手情報!$A$6:$M$119,AD58,0),13,FALSE)),"")</f>
        <v/>
      </c>
      <c r="AF58" s="127" t="str">
        <f ca="1">IF(AD58&lt;&gt;"",IF(ISNA(VLOOKUP($N58,OFFSET(選手情報!$A$6:$BD$119,AD58,0),56,FALSE)),"",VLOOKUP($N58,OFFSET(選手情報!$A$6:$BD$119,AD58,0),56,FALSE)),"")</f>
        <v/>
      </c>
      <c r="AG58" s="127" t="str">
        <f ca="1">IF(AF58&lt;&gt;"",IF(ISNA(VLOOKUP($N58,OFFSET(選手情報!$A$6:$M$119,AF58,0),13,FALSE)),"","/"&amp;VLOOKUP($N58,OFFSET(選手情報!$A$6:$M$119,AF58,0),13,FALSE)),"")</f>
        <v/>
      </c>
      <c r="AH58" s="127" t="str">
        <f ca="1">IF(AF58&lt;&gt;"",IF(ISNA(VLOOKUP($N58,OFFSET(選手情報!$A$6:$BD$119,AF58,0),56,FALSE)),"",VLOOKUP($N58,OFFSET(選手情報!$A$6:$BD$119,AF58,0),56,FALSE)),"")</f>
        <v/>
      </c>
      <c r="AI58" s="127" t="str">
        <f ca="1">IF(AH58&lt;&gt;"",IF(ISNA(VLOOKUP($N58,OFFSET(選手情報!$A$6:$M$119,AH58,0),13,FALSE)),"","/"&amp;VLOOKUP($N58,OFFSET(選手情報!$A$6:$M$119,AH58,0),13,FALSE)),"")</f>
        <v/>
      </c>
      <c r="AJ58" s="127" t="str">
        <f ca="1">IF(AH58&lt;&gt;"",IF(ISNA(VLOOKUP($N58,OFFSET(選手情報!$A$6:$BD$119,AH58,0),56,FALSE)),"",VLOOKUP($N58,OFFSET(選手情報!$A$6:$BD$119,AH58,0),56,FALSE)),"")</f>
        <v/>
      </c>
      <c r="AK58" s="127" t="str">
        <f ca="1">IF(AJ58&lt;&gt;"",IF(ISNA(VLOOKUP($N58,OFFSET(選手情報!$A$6:$M$119,AJ58,0),13,FALSE)),"","/"&amp;VLOOKUP($N58,OFFSET(選手情報!$A$6:$M$119,AJ58,0),13,FALSE)),"")</f>
        <v/>
      </c>
      <c r="AL58" s="127" t="str">
        <f ca="1">IF(AJ58&lt;&gt;"",IF(ISNA(VLOOKUP($N58,OFFSET(選手情報!$A$6:$BD$119,AJ58,0),56,FALSE)),"",VLOOKUP($N58,OFFSET(選手情報!$A$6:$BD$119,AJ58,0),56,FALSE)),"")</f>
        <v/>
      </c>
      <c r="AM58" s="127" t="str">
        <f ca="1">IF(AL58&lt;&gt;"",IF(ISNA(VLOOKUP($N58,OFFSET(選手情報!$A$6:$M$119,AL58,0),13,FALSE)),"","/"&amp;VLOOKUP($N58,OFFSET(選手情報!$A$6:$M$119,AL58,0),13,FALSE)),"")</f>
        <v/>
      </c>
      <c r="AN58" s="127" t="str">
        <f ca="1">IF(AL58&lt;&gt;"",IF(ISNA(VLOOKUP($N58,OFFSET(選手情報!$A$6:$BD$119,AL58,0),56,FALSE)),"",VLOOKUP($N58,OFFSET(選手情報!$A$6:$BD$119,AL58,0),56,FALSE)),"")</f>
        <v/>
      </c>
      <c r="AO58" s="127" t="str">
        <f ca="1">IF(AN58&lt;&gt;"",IF(ISNA(VLOOKUP($N58,OFFSET(選手情報!$A$6:$M$119,AN58,0),13,FALSE)),"","/"&amp;VLOOKUP($N58,OFFSET(選手情報!$A$6:$M$119,AN58,0),13,FALSE)),"")</f>
        <v/>
      </c>
      <c r="AP58" s="127" t="str">
        <f ca="1">IF(AN58&lt;&gt;"",IF(ISNA(VLOOKUP($N58,OFFSET(選手情報!$A$6:$BD$119,AN58,0),56,FALSE)),"",VLOOKUP($N58,OFFSET(選手情報!$A$6:$BD$119,AN58,0),56,FALSE)),"")</f>
        <v/>
      </c>
      <c r="AQ58" s="127" t="str">
        <f ca="1">IF(AP58&lt;&gt;"",IF(ISNA(VLOOKUP($N58,OFFSET(選手情報!$A$6:$M$119,AP58,0),13,FALSE)),"","/"&amp;VLOOKUP($N58,OFFSET(選手情報!$A$6:$M$119,AP58,0),13,FALSE)),"")</f>
        <v/>
      </c>
      <c r="AR58" s="127" t="str">
        <f ca="1">IF(AP58&lt;&gt;"",IF(ISNA(VLOOKUP($N58,OFFSET(選手情報!$A$6:$BD$119,AP58,0),56,FALSE)),"",VLOOKUP($N58,OFFSET(選手情報!$A$6:$BD$119,AP58,0),56,FALSE)),"")</f>
        <v/>
      </c>
      <c r="AS58" s="127" t="str">
        <f ca="1">IF(AR58&lt;&gt;"",IF(ISNA(VLOOKUP($N58,OFFSET(選手情報!$A$6:$M$119,AR58,0),13,FALSE)),"","/"&amp;VLOOKUP($N58,OFFSET(選手情報!$A$6:$M$119,AR58,0),13,FALSE)),"")</f>
        <v/>
      </c>
      <c r="AT58" s="127" t="str">
        <f ca="1">IF(AR58&lt;&gt;"",IF(ISNA(VLOOKUP($N58,OFFSET(選手情報!$A$6:$BD$119,AR58,0),56,FALSE)),"",VLOOKUP($N58,OFFSET(選手情報!$A$6:$BD$119,AR58,0),56,FALSE)),"")</f>
        <v/>
      </c>
      <c r="AU58" s="127" t="str">
        <f ca="1">IF(AT58&lt;&gt;"",IF(ISNA(VLOOKUP($N58,OFFSET(選手情報!$A$6:$M$119,AT58,0),13,FALSE)),"","/"&amp;VLOOKUP($N58,OFFSET(選手情報!$A$6:$M$119,AT58,0),13,FALSE)),"")</f>
        <v/>
      </c>
      <c r="AV58" s="127" t="str">
        <f ca="1">IF(AT58&lt;&gt;"",IF(ISNA(VLOOKUP($N58,OFFSET(選手情報!$A$6:$BD$119,AT58,0),56,FALSE)),"",VLOOKUP($N58,OFFSET(選手情報!$A$6:$BD$119,AT58,0),56,FALSE)),"")</f>
        <v/>
      </c>
      <c r="AW58" s="127" t="str">
        <f ca="1">IF(AV58&lt;&gt;"",IF(ISNA(VLOOKUP($N58,OFFSET(選手情報!$A$6:$M$119,AV58,0),13,FALSE)),"","/"&amp;VLOOKUP($N58,OFFSET(選手情報!$A$6:$M$119,AV58,0),13,FALSE)),"")</f>
        <v/>
      </c>
      <c r="AX58" s="127" t="str">
        <f ca="1">IF(AV58&lt;&gt;"",IF(ISNA(VLOOKUP($N58,OFFSET(選手情報!$A$6:$BD$119,AV58,0),56,FALSE)),"",VLOOKUP($N58,OFFSET(選手情報!$A$6:$BD$119,AV58,0),56,FALSE)),"")</f>
        <v/>
      </c>
      <c r="AY58" s="127" t="str">
        <f ca="1">IF(AX58&lt;&gt;"",IF(ISNA(VLOOKUP($N58,OFFSET(選手情報!$A$6:$M$119,AX58,0),13,FALSE)),"","/"&amp;VLOOKUP($N58,OFFSET(選手情報!$A$6:$M$119,AX58,0),13,FALSE)),"")</f>
        <v/>
      </c>
      <c r="AZ58" s="127" t="str">
        <f ca="1">IF(AX58&lt;&gt;"",IF(ISNA(VLOOKUP($N58,OFFSET(選手情報!$A$6:$BD$119,AX58,0),56,FALSE)),"",VLOOKUP($N58,OFFSET(選手情報!$A$6:$BD$119,AX58,0),56,FALSE)),"")</f>
        <v/>
      </c>
      <c r="BA58" s="127" t="str">
        <f ca="1">IF(AZ58&lt;&gt;"",IF(ISNA(VLOOKUP($N58,OFFSET(選手情報!$A$6:$M$119,AZ58,0),13,FALSE)),"","/"&amp;VLOOKUP($N58,OFFSET(選手情報!$A$6:$M$119,AZ58,0),13,FALSE)),"")</f>
        <v/>
      </c>
      <c r="BB58" s="127" t="str">
        <f ca="1">IF(AZ58&lt;&gt;"",IF(ISNA(VLOOKUP($N58,OFFSET(選手情報!$A$6:$BD$119,AZ58,0),56,FALSE)),"",VLOOKUP($N58,OFFSET(選手情報!$A$6:$BD$119,AZ58,0),56,FALSE)),"")</f>
        <v/>
      </c>
      <c r="BC58" s="127" t="str">
        <f ca="1">IF(BB58&lt;&gt;"",IF(ISNA(VLOOKUP($N58,OFFSET(選手情報!$A$6:$M$119,BB58,0),13,FALSE)),"","/"&amp;VLOOKUP($N58,OFFSET(選手情報!$A$6:$M$119,BB58,0),13,FALSE)),"")</f>
        <v/>
      </c>
      <c r="BD58" s="127" t="str">
        <f ca="1">IF(BB58&lt;&gt;"",IF(ISNA(VLOOKUP($N58,OFFSET(選手情報!$A$6:$BD$119,BB58,0),56,FALSE)),"",VLOOKUP($N58,OFFSET(選手情報!$A$6:$BD$119,BB58,0),56,FALSE)),"")</f>
        <v/>
      </c>
      <c r="BE58" s="127" t="str">
        <f ca="1">IF(BD58&lt;&gt;"",IF(ISNA(VLOOKUP($N58,OFFSET(選手情報!$A$6:$M$119,BD58,0),13,FALSE)),"","/"&amp;VLOOKUP($N58,OFFSET(選手情報!$A$6:$M$119,BD58,0),13,FALSE)),"")</f>
        <v/>
      </c>
      <c r="BF58" s="127" t="str">
        <f ca="1">IF(BD58&lt;&gt;"",IF(ISNA(VLOOKUP($N58,OFFSET(選手情報!$A$6:$BD$119,BD58,0),56,FALSE)),"",VLOOKUP($N58,OFFSET(選手情報!$A$6:$BD$119,BD58,0),56,FALSE)),"")</f>
        <v/>
      </c>
      <c r="BG58" s="127" t="str">
        <f ca="1">IF(BF58&lt;&gt;"",IF(ISNA(VLOOKUP($N58,OFFSET(選手情報!$A$6:$M$119,BF58,0),13,FALSE)),"","/"&amp;VLOOKUP($N58,OFFSET(選手情報!$A$6:$M$119,BF58,0),13,FALSE)),"")</f>
        <v/>
      </c>
      <c r="BH58" s="127" t="str">
        <f ca="1">IF(BF58&lt;&gt;"",IF(ISNA(VLOOKUP($N58,OFFSET(選手情報!$A$6:$BD$119,BF58,0),56,FALSE)),"",VLOOKUP($N58,OFFSET(選手情報!$A$6:$BD$119,BF58,0),56,FALSE)),"")</f>
        <v/>
      </c>
      <c r="BI58" s="127" t="str">
        <f ca="1">IF(BH58&lt;&gt;"",IF(ISNA(VLOOKUP($N58,OFFSET(選手情報!$A$6:$M$119,BH58,0),13,FALSE)),"","/"&amp;VLOOKUP($N58,OFFSET(選手情報!$A$6:$M$119,BH58,0),13,FALSE)),"")</f>
        <v/>
      </c>
    </row>
    <row r="59" spans="1:61" s="127" customFormat="1" ht="12.6" customHeight="1">
      <c r="A59" s="128" t="str">
        <f>IF(ISNA(VLOOKUP($C$2&amp;N59,選手データ!A:H,3,FALSE)),"",IF(M59&lt;&gt;M58,VLOOKUP($C$2&amp;N59,選手データ!A:H,3,FALSE),""))</f>
        <v/>
      </c>
      <c r="B59" s="129" t="str">
        <f>IF(A59&lt;&gt;"",VLOOKUP($C$2&amp;N59,選手データ!A:H,4,FALSE),"")</f>
        <v/>
      </c>
      <c r="C59" s="129" t="str">
        <f>IF(A59&lt;&gt;"",VLOOKUP($C$2&amp;N59,選手データ!A:H,5,FALSE),"")</f>
        <v/>
      </c>
      <c r="D59" s="129" t="str">
        <f>IF(A59&lt;&gt;"",VLOOKUP($C$2&amp;N59,選手データ!A:H,6,FALSE),"")</f>
        <v/>
      </c>
      <c r="E59" s="129" t="str">
        <f>IF(A59&lt;&gt;"",VLOOKUP($C$2&amp;N59,選手データ!A:H,7,FALSE),"")</f>
        <v/>
      </c>
      <c r="F59" s="130" t="str">
        <f>IF(A59&lt;&gt;"",VLOOKUP($C$2&amp;N59,選手データ!A:H,8,FALSE),"")</f>
        <v/>
      </c>
      <c r="G59" s="130" t="str">
        <f>IF(F59&lt;&gt;"",IF(DATEDIF(F59,設定!$B$12,"Y")&lt;20,"〇",""),"")</f>
        <v/>
      </c>
      <c r="H59" s="131" t="str">
        <f t="shared" ca="1" si="0"/>
        <v/>
      </c>
      <c r="I59" s="132" t="str">
        <f t="shared" ca="1" si="1"/>
        <v/>
      </c>
      <c r="J59" s="131" t="str">
        <f t="shared" ca="1" si="2"/>
        <v/>
      </c>
      <c r="K59" s="130" t="str">
        <f>IF(A59&lt;&gt;"",IF(COUNTIF(リレーチーム情報!$B$5:$B$10,A59&amp;E59)=1,"〇",""),"")</f>
        <v/>
      </c>
      <c r="L59" s="133" t="str">
        <f>IF(A59&lt;&gt;"",IF(COUNTIF(リレーチーム情報!$B$11:$B$16,A59&amp;E59)=1,"〇",""),"")</f>
        <v/>
      </c>
      <c r="M59" s="127">
        <f>IF(学校情報!$A$4&lt;&gt;"",0,IF(S58=0,MAX($M$37:M58)+1,M58))</f>
        <v>0</v>
      </c>
      <c r="N59" s="127" t="str">
        <f>IF(M59&lt;&gt;0,VLOOKUP(M59,選手情報!BF:BG,2,FALSE),"")</f>
        <v/>
      </c>
      <c r="O59" s="127" t="str">
        <f ca="1">IF(M59&lt;&gt;0,VLOOKUP(N59,OFFSET(選手情報!$A$6:$W$119,IF(M59&lt;&gt;M58,0,R58),0),13,FALSE),"")</f>
        <v/>
      </c>
      <c r="P59" s="127" t="str">
        <f ca="1">IF(M59&lt;&gt;0,VLOOKUP(N59,OFFSET(選手情報!$A$6:$W$119,IF(M59&lt;&gt;M58,0,R58),0),16,FALSE),"")</f>
        <v/>
      </c>
      <c r="Q59" s="127" t="str">
        <f ca="1">IF(M59&lt;&gt;0,VLOOKUP(N59,OFFSET(選手情報!$A$6:$W$119,IF(M59&lt;&gt;M58,0,R58),0),21,FALSE),"")</f>
        <v/>
      </c>
      <c r="R59" s="127">
        <f ca="1">IF(M59&lt;&gt;0,VLOOKUP(N59,OFFSET(選手情報!$A$6:$BD$119,IF(M59&lt;&gt;M58,0,R58),0),56,FALSE),0)</f>
        <v>0</v>
      </c>
      <c r="S59" s="127">
        <f ca="1">IF(M59&lt;&gt;0,IF(ISNA(R59),0,COUNTIF(OFFSET(選手情報!$A$6:$A$119,R59,0),N59)),0)</f>
        <v>0</v>
      </c>
      <c r="U59" s="127">
        <f t="shared" si="3"/>
        <v>0</v>
      </c>
      <c r="V59" s="127">
        <f t="shared" ca="1" si="4"/>
        <v>1</v>
      </c>
      <c r="W59" s="127">
        <f t="shared" ca="1" si="5"/>
        <v>0</v>
      </c>
      <c r="X59" s="127" t="str">
        <f t="shared" ca="1" si="6"/>
        <v/>
      </c>
      <c r="Y59" s="127" t="str">
        <f>IF($A59&lt;&gt;"",IF(ISNA(VLOOKUP($N59,選手情報!$A$6:$M$119,13,FALSE)),"","/"&amp;VLOOKUP($N59,選手情報!$A$6:$M$119,13,FALSE)),"")</f>
        <v/>
      </c>
      <c r="Z59" s="127" t="str">
        <f ca="1">IF(Y59&lt;&gt;"",IF(ISNA(VLOOKUP($N59,OFFSET(選手情報!$A$6:$BD$119,0,0),56,FALSE)),"",VLOOKUP($N59,OFFSET(選手情報!$A$6:$BD$119,0,0),56,FALSE)),"")</f>
        <v/>
      </c>
      <c r="AA59" s="127" t="str">
        <f ca="1">IF(Z59&lt;&gt;"",IF(ISNA(VLOOKUP($N59,OFFSET(選手情報!$A$6:$M$119,Z59,0),13,FALSE)),"","/"&amp;VLOOKUP($N59,OFFSET(選手情報!$A$6:$M$119,Z59,0),13,FALSE)),"")</f>
        <v/>
      </c>
      <c r="AB59" s="127" t="str">
        <f ca="1">IF(Z59&lt;&gt;"",IF(ISNA(VLOOKUP($N59,OFFSET(選手情報!$A$6:$BD$119,Z59,0),56,FALSE)),"",VLOOKUP($N59,OFFSET(選手情報!$A$6:$BD$119,Z59,0),56,FALSE)),"")</f>
        <v/>
      </c>
      <c r="AC59" s="127" t="str">
        <f ca="1">IF(AB59&lt;&gt;"",IF(ISNA(VLOOKUP($N59,OFFSET(選手情報!$A$6:$M$119,AB59,0),13,FALSE)),"","/"&amp;VLOOKUP($N59,OFFSET(選手情報!$A$6:$M$119,AB59,0),13,FALSE)),"")</f>
        <v/>
      </c>
      <c r="AD59" s="127" t="str">
        <f ca="1">IF(AB59&lt;&gt;"",IF(ISNA(VLOOKUP($N59,OFFSET(選手情報!$A$6:$BD$119,AB59,0),56,FALSE)),"",VLOOKUP($N59,OFFSET(選手情報!$A$6:$BD$119,AB59,0),56,FALSE)),"")</f>
        <v/>
      </c>
      <c r="AE59" s="127" t="str">
        <f ca="1">IF(AD59&lt;&gt;"",IF(ISNA(VLOOKUP($N59,OFFSET(選手情報!$A$6:$M$119,AD59,0),13,FALSE)),"","/"&amp;VLOOKUP($N59,OFFSET(選手情報!$A$6:$M$119,AD59,0),13,FALSE)),"")</f>
        <v/>
      </c>
      <c r="AF59" s="127" t="str">
        <f ca="1">IF(AD59&lt;&gt;"",IF(ISNA(VLOOKUP($N59,OFFSET(選手情報!$A$6:$BD$119,AD59,0),56,FALSE)),"",VLOOKUP($N59,OFFSET(選手情報!$A$6:$BD$119,AD59,0),56,FALSE)),"")</f>
        <v/>
      </c>
      <c r="AG59" s="127" t="str">
        <f ca="1">IF(AF59&lt;&gt;"",IF(ISNA(VLOOKUP($N59,OFFSET(選手情報!$A$6:$M$119,AF59,0),13,FALSE)),"","/"&amp;VLOOKUP($N59,OFFSET(選手情報!$A$6:$M$119,AF59,0),13,FALSE)),"")</f>
        <v/>
      </c>
      <c r="AH59" s="127" t="str">
        <f ca="1">IF(AF59&lt;&gt;"",IF(ISNA(VLOOKUP($N59,OFFSET(選手情報!$A$6:$BD$119,AF59,0),56,FALSE)),"",VLOOKUP($N59,OFFSET(選手情報!$A$6:$BD$119,AF59,0),56,FALSE)),"")</f>
        <v/>
      </c>
      <c r="AI59" s="127" t="str">
        <f ca="1">IF(AH59&lt;&gt;"",IF(ISNA(VLOOKUP($N59,OFFSET(選手情報!$A$6:$M$119,AH59,0),13,FALSE)),"","/"&amp;VLOOKUP($N59,OFFSET(選手情報!$A$6:$M$119,AH59,0),13,FALSE)),"")</f>
        <v/>
      </c>
      <c r="AJ59" s="127" t="str">
        <f ca="1">IF(AH59&lt;&gt;"",IF(ISNA(VLOOKUP($N59,OFFSET(選手情報!$A$6:$BD$119,AH59,0),56,FALSE)),"",VLOOKUP($N59,OFFSET(選手情報!$A$6:$BD$119,AH59,0),56,FALSE)),"")</f>
        <v/>
      </c>
      <c r="AK59" s="127" t="str">
        <f ca="1">IF(AJ59&lt;&gt;"",IF(ISNA(VLOOKUP($N59,OFFSET(選手情報!$A$6:$M$119,AJ59,0),13,FALSE)),"","/"&amp;VLOOKUP($N59,OFFSET(選手情報!$A$6:$M$119,AJ59,0),13,FALSE)),"")</f>
        <v/>
      </c>
      <c r="AL59" s="127" t="str">
        <f ca="1">IF(AJ59&lt;&gt;"",IF(ISNA(VLOOKUP($N59,OFFSET(選手情報!$A$6:$BD$119,AJ59,0),56,FALSE)),"",VLOOKUP($N59,OFFSET(選手情報!$A$6:$BD$119,AJ59,0),56,FALSE)),"")</f>
        <v/>
      </c>
      <c r="AM59" s="127" t="str">
        <f ca="1">IF(AL59&lt;&gt;"",IF(ISNA(VLOOKUP($N59,OFFSET(選手情報!$A$6:$M$119,AL59,0),13,FALSE)),"","/"&amp;VLOOKUP($N59,OFFSET(選手情報!$A$6:$M$119,AL59,0),13,FALSE)),"")</f>
        <v/>
      </c>
      <c r="AN59" s="127" t="str">
        <f ca="1">IF(AL59&lt;&gt;"",IF(ISNA(VLOOKUP($N59,OFFSET(選手情報!$A$6:$BD$119,AL59,0),56,FALSE)),"",VLOOKUP($N59,OFFSET(選手情報!$A$6:$BD$119,AL59,0),56,FALSE)),"")</f>
        <v/>
      </c>
      <c r="AO59" s="127" t="str">
        <f ca="1">IF(AN59&lt;&gt;"",IF(ISNA(VLOOKUP($N59,OFFSET(選手情報!$A$6:$M$119,AN59,0),13,FALSE)),"","/"&amp;VLOOKUP($N59,OFFSET(選手情報!$A$6:$M$119,AN59,0),13,FALSE)),"")</f>
        <v/>
      </c>
      <c r="AP59" s="127" t="str">
        <f ca="1">IF(AN59&lt;&gt;"",IF(ISNA(VLOOKUP($N59,OFFSET(選手情報!$A$6:$BD$119,AN59,0),56,FALSE)),"",VLOOKUP($N59,OFFSET(選手情報!$A$6:$BD$119,AN59,0),56,FALSE)),"")</f>
        <v/>
      </c>
      <c r="AQ59" s="127" t="str">
        <f ca="1">IF(AP59&lt;&gt;"",IF(ISNA(VLOOKUP($N59,OFFSET(選手情報!$A$6:$M$119,AP59,0),13,FALSE)),"","/"&amp;VLOOKUP($N59,OFFSET(選手情報!$A$6:$M$119,AP59,0),13,FALSE)),"")</f>
        <v/>
      </c>
      <c r="AR59" s="127" t="str">
        <f ca="1">IF(AP59&lt;&gt;"",IF(ISNA(VLOOKUP($N59,OFFSET(選手情報!$A$6:$BD$119,AP59,0),56,FALSE)),"",VLOOKUP($N59,OFFSET(選手情報!$A$6:$BD$119,AP59,0),56,FALSE)),"")</f>
        <v/>
      </c>
      <c r="AS59" s="127" t="str">
        <f ca="1">IF(AR59&lt;&gt;"",IF(ISNA(VLOOKUP($N59,OFFSET(選手情報!$A$6:$M$119,AR59,0),13,FALSE)),"","/"&amp;VLOOKUP($N59,OFFSET(選手情報!$A$6:$M$119,AR59,0),13,FALSE)),"")</f>
        <v/>
      </c>
      <c r="AT59" s="127" t="str">
        <f ca="1">IF(AR59&lt;&gt;"",IF(ISNA(VLOOKUP($N59,OFFSET(選手情報!$A$6:$BD$119,AR59,0),56,FALSE)),"",VLOOKUP($N59,OFFSET(選手情報!$A$6:$BD$119,AR59,0),56,FALSE)),"")</f>
        <v/>
      </c>
      <c r="AU59" s="127" t="str">
        <f ca="1">IF(AT59&lt;&gt;"",IF(ISNA(VLOOKUP($N59,OFFSET(選手情報!$A$6:$M$119,AT59,0),13,FALSE)),"","/"&amp;VLOOKUP($N59,OFFSET(選手情報!$A$6:$M$119,AT59,0),13,FALSE)),"")</f>
        <v/>
      </c>
      <c r="AV59" s="127" t="str">
        <f ca="1">IF(AT59&lt;&gt;"",IF(ISNA(VLOOKUP($N59,OFFSET(選手情報!$A$6:$BD$119,AT59,0),56,FALSE)),"",VLOOKUP($N59,OFFSET(選手情報!$A$6:$BD$119,AT59,0),56,FALSE)),"")</f>
        <v/>
      </c>
      <c r="AW59" s="127" t="str">
        <f ca="1">IF(AV59&lt;&gt;"",IF(ISNA(VLOOKUP($N59,OFFSET(選手情報!$A$6:$M$119,AV59,0),13,FALSE)),"","/"&amp;VLOOKUP($N59,OFFSET(選手情報!$A$6:$M$119,AV59,0),13,FALSE)),"")</f>
        <v/>
      </c>
      <c r="AX59" s="127" t="str">
        <f ca="1">IF(AV59&lt;&gt;"",IF(ISNA(VLOOKUP($N59,OFFSET(選手情報!$A$6:$BD$119,AV59,0),56,FALSE)),"",VLOOKUP($N59,OFFSET(選手情報!$A$6:$BD$119,AV59,0),56,FALSE)),"")</f>
        <v/>
      </c>
      <c r="AY59" s="127" t="str">
        <f ca="1">IF(AX59&lt;&gt;"",IF(ISNA(VLOOKUP($N59,OFFSET(選手情報!$A$6:$M$119,AX59,0),13,FALSE)),"","/"&amp;VLOOKUP($N59,OFFSET(選手情報!$A$6:$M$119,AX59,0),13,FALSE)),"")</f>
        <v/>
      </c>
      <c r="AZ59" s="127" t="str">
        <f ca="1">IF(AX59&lt;&gt;"",IF(ISNA(VLOOKUP($N59,OFFSET(選手情報!$A$6:$BD$119,AX59,0),56,FALSE)),"",VLOOKUP($N59,OFFSET(選手情報!$A$6:$BD$119,AX59,0),56,FALSE)),"")</f>
        <v/>
      </c>
      <c r="BA59" s="127" t="str">
        <f ca="1">IF(AZ59&lt;&gt;"",IF(ISNA(VLOOKUP($N59,OFFSET(選手情報!$A$6:$M$119,AZ59,0),13,FALSE)),"","/"&amp;VLOOKUP($N59,OFFSET(選手情報!$A$6:$M$119,AZ59,0),13,FALSE)),"")</f>
        <v/>
      </c>
      <c r="BB59" s="127" t="str">
        <f ca="1">IF(AZ59&lt;&gt;"",IF(ISNA(VLOOKUP($N59,OFFSET(選手情報!$A$6:$BD$119,AZ59,0),56,FALSE)),"",VLOOKUP($N59,OFFSET(選手情報!$A$6:$BD$119,AZ59,0),56,FALSE)),"")</f>
        <v/>
      </c>
      <c r="BC59" s="127" t="str">
        <f ca="1">IF(BB59&lt;&gt;"",IF(ISNA(VLOOKUP($N59,OFFSET(選手情報!$A$6:$M$119,BB59,0),13,FALSE)),"","/"&amp;VLOOKUP($N59,OFFSET(選手情報!$A$6:$M$119,BB59,0),13,FALSE)),"")</f>
        <v/>
      </c>
      <c r="BD59" s="127" t="str">
        <f ca="1">IF(BB59&lt;&gt;"",IF(ISNA(VLOOKUP($N59,OFFSET(選手情報!$A$6:$BD$119,BB59,0),56,FALSE)),"",VLOOKUP($N59,OFFSET(選手情報!$A$6:$BD$119,BB59,0),56,FALSE)),"")</f>
        <v/>
      </c>
      <c r="BE59" s="127" t="str">
        <f ca="1">IF(BD59&lt;&gt;"",IF(ISNA(VLOOKUP($N59,OFFSET(選手情報!$A$6:$M$119,BD59,0),13,FALSE)),"","/"&amp;VLOOKUP($N59,OFFSET(選手情報!$A$6:$M$119,BD59,0),13,FALSE)),"")</f>
        <v/>
      </c>
      <c r="BF59" s="127" t="str">
        <f ca="1">IF(BD59&lt;&gt;"",IF(ISNA(VLOOKUP($N59,OFFSET(選手情報!$A$6:$BD$119,BD59,0),56,FALSE)),"",VLOOKUP($N59,OFFSET(選手情報!$A$6:$BD$119,BD59,0),56,FALSE)),"")</f>
        <v/>
      </c>
      <c r="BG59" s="127" t="str">
        <f ca="1">IF(BF59&lt;&gt;"",IF(ISNA(VLOOKUP($N59,OFFSET(選手情報!$A$6:$M$119,BF59,0),13,FALSE)),"","/"&amp;VLOOKUP($N59,OFFSET(選手情報!$A$6:$M$119,BF59,0),13,FALSE)),"")</f>
        <v/>
      </c>
      <c r="BH59" s="127" t="str">
        <f ca="1">IF(BF59&lt;&gt;"",IF(ISNA(VLOOKUP($N59,OFFSET(選手情報!$A$6:$BD$119,BF59,0),56,FALSE)),"",VLOOKUP($N59,OFFSET(選手情報!$A$6:$BD$119,BF59,0),56,FALSE)),"")</f>
        <v/>
      </c>
      <c r="BI59" s="127" t="str">
        <f ca="1">IF(BH59&lt;&gt;"",IF(ISNA(VLOOKUP($N59,OFFSET(選手情報!$A$6:$M$119,BH59,0),13,FALSE)),"","/"&amp;VLOOKUP($N59,OFFSET(選手情報!$A$6:$M$119,BH59,0),13,FALSE)),"")</f>
        <v/>
      </c>
    </row>
    <row r="60" spans="1:61" s="127" customFormat="1" ht="12.6" customHeight="1">
      <c r="A60" s="128" t="str">
        <f>IF(ISNA(VLOOKUP($C$2&amp;N60,選手データ!A:H,3,FALSE)),"",IF(M60&lt;&gt;M59,VLOOKUP($C$2&amp;N60,選手データ!A:H,3,FALSE),""))</f>
        <v/>
      </c>
      <c r="B60" s="129" t="str">
        <f>IF(A60&lt;&gt;"",VLOOKUP($C$2&amp;N60,選手データ!A:H,4,FALSE),"")</f>
        <v/>
      </c>
      <c r="C60" s="129" t="str">
        <f>IF(A60&lt;&gt;"",VLOOKUP($C$2&amp;N60,選手データ!A:H,5,FALSE),"")</f>
        <v/>
      </c>
      <c r="D60" s="129" t="str">
        <f>IF(A60&lt;&gt;"",VLOOKUP($C$2&amp;N60,選手データ!A:H,6,FALSE),"")</f>
        <v/>
      </c>
      <c r="E60" s="129" t="str">
        <f>IF(A60&lt;&gt;"",VLOOKUP($C$2&amp;N60,選手データ!A:H,7,FALSE),"")</f>
        <v/>
      </c>
      <c r="F60" s="130" t="str">
        <f>IF(A60&lt;&gt;"",VLOOKUP($C$2&amp;N60,選手データ!A:H,8,FALSE),"")</f>
        <v/>
      </c>
      <c r="G60" s="130" t="str">
        <f>IF(F60&lt;&gt;"",IF(DATEDIF(F60,設定!$B$12,"Y")&lt;20,"〇",""),"")</f>
        <v/>
      </c>
      <c r="H60" s="131" t="str">
        <f t="shared" ca="1" si="0"/>
        <v/>
      </c>
      <c r="I60" s="132" t="str">
        <f t="shared" ca="1" si="1"/>
        <v/>
      </c>
      <c r="J60" s="131" t="str">
        <f t="shared" ca="1" si="2"/>
        <v/>
      </c>
      <c r="K60" s="130" t="str">
        <f>IF(A60&lt;&gt;"",IF(COUNTIF(リレーチーム情報!$B$5:$B$10,A60&amp;E60)=1,"〇",""),"")</f>
        <v/>
      </c>
      <c r="L60" s="133" t="str">
        <f>IF(A60&lt;&gt;"",IF(COUNTIF(リレーチーム情報!$B$11:$B$16,A60&amp;E60)=1,"〇",""),"")</f>
        <v/>
      </c>
      <c r="M60" s="127">
        <f>IF(学校情報!$A$4&lt;&gt;"",0,IF(S59=0,MAX($M$37:M59)+1,M59))</f>
        <v>0</v>
      </c>
      <c r="N60" s="127" t="str">
        <f>IF(M60&lt;&gt;0,VLOOKUP(M60,選手情報!BF:BG,2,FALSE),"")</f>
        <v/>
      </c>
      <c r="O60" s="127" t="str">
        <f ca="1">IF(M60&lt;&gt;0,VLOOKUP(N60,OFFSET(選手情報!$A$6:$W$119,IF(M60&lt;&gt;M59,0,R59),0),13,FALSE),"")</f>
        <v/>
      </c>
      <c r="P60" s="127" t="str">
        <f ca="1">IF(M60&lt;&gt;0,VLOOKUP(N60,OFFSET(選手情報!$A$6:$W$119,IF(M60&lt;&gt;M59,0,R59),0),16,FALSE),"")</f>
        <v/>
      </c>
      <c r="Q60" s="127" t="str">
        <f ca="1">IF(M60&lt;&gt;0,VLOOKUP(N60,OFFSET(選手情報!$A$6:$W$119,IF(M60&lt;&gt;M59,0,R59),0),21,FALSE),"")</f>
        <v/>
      </c>
      <c r="R60" s="127">
        <f ca="1">IF(M60&lt;&gt;0,VLOOKUP(N60,OFFSET(選手情報!$A$6:$BD$119,IF(M60&lt;&gt;M59,0,R59),0),56,FALSE),0)</f>
        <v>0</v>
      </c>
      <c r="S60" s="127">
        <f ca="1">IF(M60&lt;&gt;0,IF(ISNA(R60),0,COUNTIF(OFFSET(選手情報!$A$6:$A$119,R60,0),N60)),0)</f>
        <v>0</v>
      </c>
      <c r="U60" s="127">
        <f t="shared" si="3"/>
        <v>0</v>
      </c>
      <c r="V60" s="127">
        <f t="shared" ca="1" si="4"/>
        <v>1</v>
      </c>
      <c r="W60" s="127">
        <f t="shared" ca="1" si="5"/>
        <v>0</v>
      </c>
      <c r="X60" s="127" t="str">
        <f t="shared" ca="1" si="6"/>
        <v/>
      </c>
      <c r="Y60" s="127" t="str">
        <f>IF($A60&lt;&gt;"",IF(ISNA(VLOOKUP($N60,選手情報!$A$6:$M$119,13,FALSE)),"","/"&amp;VLOOKUP($N60,選手情報!$A$6:$M$119,13,FALSE)),"")</f>
        <v/>
      </c>
      <c r="Z60" s="127" t="str">
        <f ca="1">IF(Y60&lt;&gt;"",IF(ISNA(VLOOKUP($N60,OFFSET(選手情報!$A$6:$BD$119,0,0),56,FALSE)),"",VLOOKUP($N60,OFFSET(選手情報!$A$6:$BD$119,0,0),56,FALSE)),"")</f>
        <v/>
      </c>
      <c r="AA60" s="127" t="str">
        <f ca="1">IF(Z60&lt;&gt;"",IF(ISNA(VLOOKUP($N60,OFFSET(選手情報!$A$6:$M$119,Z60,0),13,FALSE)),"","/"&amp;VLOOKUP($N60,OFFSET(選手情報!$A$6:$M$119,Z60,0),13,FALSE)),"")</f>
        <v/>
      </c>
      <c r="AB60" s="127" t="str">
        <f ca="1">IF(Z60&lt;&gt;"",IF(ISNA(VLOOKUP($N60,OFFSET(選手情報!$A$6:$BD$119,Z60,0),56,FALSE)),"",VLOOKUP($N60,OFFSET(選手情報!$A$6:$BD$119,Z60,0),56,FALSE)),"")</f>
        <v/>
      </c>
      <c r="AC60" s="127" t="str">
        <f ca="1">IF(AB60&lt;&gt;"",IF(ISNA(VLOOKUP($N60,OFFSET(選手情報!$A$6:$M$119,AB60,0),13,FALSE)),"","/"&amp;VLOOKUP($N60,OFFSET(選手情報!$A$6:$M$119,AB60,0),13,FALSE)),"")</f>
        <v/>
      </c>
      <c r="AD60" s="127" t="str">
        <f ca="1">IF(AB60&lt;&gt;"",IF(ISNA(VLOOKUP($N60,OFFSET(選手情報!$A$6:$BD$119,AB60,0),56,FALSE)),"",VLOOKUP($N60,OFFSET(選手情報!$A$6:$BD$119,AB60,0),56,FALSE)),"")</f>
        <v/>
      </c>
      <c r="AE60" s="127" t="str">
        <f ca="1">IF(AD60&lt;&gt;"",IF(ISNA(VLOOKUP($N60,OFFSET(選手情報!$A$6:$M$119,AD60,0),13,FALSE)),"","/"&amp;VLOOKUP($N60,OFFSET(選手情報!$A$6:$M$119,AD60,0),13,FALSE)),"")</f>
        <v/>
      </c>
      <c r="AF60" s="127" t="str">
        <f ca="1">IF(AD60&lt;&gt;"",IF(ISNA(VLOOKUP($N60,OFFSET(選手情報!$A$6:$BD$119,AD60,0),56,FALSE)),"",VLOOKUP($N60,OFFSET(選手情報!$A$6:$BD$119,AD60,0),56,FALSE)),"")</f>
        <v/>
      </c>
      <c r="AG60" s="127" t="str">
        <f ca="1">IF(AF60&lt;&gt;"",IF(ISNA(VLOOKUP($N60,OFFSET(選手情報!$A$6:$M$119,AF60,0),13,FALSE)),"","/"&amp;VLOOKUP($N60,OFFSET(選手情報!$A$6:$M$119,AF60,0),13,FALSE)),"")</f>
        <v/>
      </c>
      <c r="AH60" s="127" t="str">
        <f ca="1">IF(AF60&lt;&gt;"",IF(ISNA(VLOOKUP($N60,OFFSET(選手情報!$A$6:$BD$119,AF60,0),56,FALSE)),"",VLOOKUP($N60,OFFSET(選手情報!$A$6:$BD$119,AF60,0),56,FALSE)),"")</f>
        <v/>
      </c>
      <c r="AI60" s="127" t="str">
        <f ca="1">IF(AH60&lt;&gt;"",IF(ISNA(VLOOKUP($N60,OFFSET(選手情報!$A$6:$M$119,AH60,0),13,FALSE)),"","/"&amp;VLOOKUP($N60,OFFSET(選手情報!$A$6:$M$119,AH60,0),13,FALSE)),"")</f>
        <v/>
      </c>
      <c r="AJ60" s="127" t="str">
        <f ca="1">IF(AH60&lt;&gt;"",IF(ISNA(VLOOKUP($N60,OFFSET(選手情報!$A$6:$BD$119,AH60,0),56,FALSE)),"",VLOOKUP($N60,OFFSET(選手情報!$A$6:$BD$119,AH60,0),56,FALSE)),"")</f>
        <v/>
      </c>
      <c r="AK60" s="127" t="str">
        <f ca="1">IF(AJ60&lt;&gt;"",IF(ISNA(VLOOKUP($N60,OFFSET(選手情報!$A$6:$M$119,AJ60,0),13,FALSE)),"","/"&amp;VLOOKUP($N60,OFFSET(選手情報!$A$6:$M$119,AJ60,0),13,FALSE)),"")</f>
        <v/>
      </c>
      <c r="AL60" s="127" t="str">
        <f ca="1">IF(AJ60&lt;&gt;"",IF(ISNA(VLOOKUP($N60,OFFSET(選手情報!$A$6:$BD$119,AJ60,0),56,FALSE)),"",VLOOKUP($N60,OFFSET(選手情報!$A$6:$BD$119,AJ60,0),56,FALSE)),"")</f>
        <v/>
      </c>
      <c r="AM60" s="127" t="str">
        <f ca="1">IF(AL60&lt;&gt;"",IF(ISNA(VLOOKUP($N60,OFFSET(選手情報!$A$6:$M$119,AL60,0),13,FALSE)),"","/"&amp;VLOOKUP($N60,OFFSET(選手情報!$A$6:$M$119,AL60,0),13,FALSE)),"")</f>
        <v/>
      </c>
      <c r="AN60" s="127" t="str">
        <f ca="1">IF(AL60&lt;&gt;"",IF(ISNA(VLOOKUP($N60,OFFSET(選手情報!$A$6:$BD$119,AL60,0),56,FALSE)),"",VLOOKUP($N60,OFFSET(選手情報!$A$6:$BD$119,AL60,0),56,FALSE)),"")</f>
        <v/>
      </c>
      <c r="AO60" s="127" t="str">
        <f ca="1">IF(AN60&lt;&gt;"",IF(ISNA(VLOOKUP($N60,OFFSET(選手情報!$A$6:$M$119,AN60,0),13,FALSE)),"","/"&amp;VLOOKUP($N60,OFFSET(選手情報!$A$6:$M$119,AN60,0),13,FALSE)),"")</f>
        <v/>
      </c>
      <c r="AP60" s="127" t="str">
        <f ca="1">IF(AN60&lt;&gt;"",IF(ISNA(VLOOKUP($N60,OFFSET(選手情報!$A$6:$BD$119,AN60,0),56,FALSE)),"",VLOOKUP($N60,OFFSET(選手情報!$A$6:$BD$119,AN60,0),56,FALSE)),"")</f>
        <v/>
      </c>
      <c r="AQ60" s="127" t="str">
        <f ca="1">IF(AP60&lt;&gt;"",IF(ISNA(VLOOKUP($N60,OFFSET(選手情報!$A$6:$M$119,AP60,0),13,FALSE)),"","/"&amp;VLOOKUP($N60,OFFSET(選手情報!$A$6:$M$119,AP60,0),13,FALSE)),"")</f>
        <v/>
      </c>
      <c r="AR60" s="127" t="str">
        <f ca="1">IF(AP60&lt;&gt;"",IF(ISNA(VLOOKUP($N60,OFFSET(選手情報!$A$6:$BD$119,AP60,0),56,FALSE)),"",VLOOKUP($N60,OFFSET(選手情報!$A$6:$BD$119,AP60,0),56,FALSE)),"")</f>
        <v/>
      </c>
      <c r="AS60" s="127" t="str">
        <f ca="1">IF(AR60&lt;&gt;"",IF(ISNA(VLOOKUP($N60,OFFSET(選手情報!$A$6:$M$119,AR60,0),13,FALSE)),"","/"&amp;VLOOKUP($N60,OFFSET(選手情報!$A$6:$M$119,AR60,0),13,FALSE)),"")</f>
        <v/>
      </c>
      <c r="AT60" s="127" t="str">
        <f ca="1">IF(AR60&lt;&gt;"",IF(ISNA(VLOOKUP($N60,OFFSET(選手情報!$A$6:$BD$119,AR60,0),56,FALSE)),"",VLOOKUP($N60,OFFSET(選手情報!$A$6:$BD$119,AR60,0),56,FALSE)),"")</f>
        <v/>
      </c>
      <c r="AU60" s="127" t="str">
        <f ca="1">IF(AT60&lt;&gt;"",IF(ISNA(VLOOKUP($N60,OFFSET(選手情報!$A$6:$M$119,AT60,0),13,FALSE)),"","/"&amp;VLOOKUP($N60,OFFSET(選手情報!$A$6:$M$119,AT60,0),13,FALSE)),"")</f>
        <v/>
      </c>
      <c r="AV60" s="127" t="str">
        <f ca="1">IF(AT60&lt;&gt;"",IF(ISNA(VLOOKUP($N60,OFFSET(選手情報!$A$6:$BD$119,AT60,0),56,FALSE)),"",VLOOKUP($N60,OFFSET(選手情報!$A$6:$BD$119,AT60,0),56,FALSE)),"")</f>
        <v/>
      </c>
      <c r="AW60" s="127" t="str">
        <f ca="1">IF(AV60&lt;&gt;"",IF(ISNA(VLOOKUP($N60,OFFSET(選手情報!$A$6:$M$119,AV60,0),13,FALSE)),"","/"&amp;VLOOKUP($N60,OFFSET(選手情報!$A$6:$M$119,AV60,0),13,FALSE)),"")</f>
        <v/>
      </c>
      <c r="AX60" s="127" t="str">
        <f ca="1">IF(AV60&lt;&gt;"",IF(ISNA(VLOOKUP($N60,OFFSET(選手情報!$A$6:$BD$119,AV60,0),56,FALSE)),"",VLOOKUP($N60,OFFSET(選手情報!$A$6:$BD$119,AV60,0),56,FALSE)),"")</f>
        <v/>
      </c>
      <c r="AY60" s="127" t="str">
        <f ca="1">IF(AX60&lt;&gt;"",IF(ISNA(VLOOKUP($N60,OFFSET(選手情報!$A$6:$M$119,AX60,0),13,FALSE)),"","/"&amp;VLOOKUP($N60,OFFSET(選手情報!$A$6:$M$119,AX60,0),13,FALSE)),"")</f>
        <v/>
      </c>
      <c r="AZ60" s="127" t="str">
        <f ca="1">IF(AX60&lt;&gt;"",IF(ISNA(VLOOKUP($N60,OFFSET(選手情報!$A$6:$BD$119,AX60,0),56,FALSE)),"",VLOOKUP($N60,OFFSET(選手情報!$A$6:$BD$119,AX60,0),56,FALSE)),"")</f>
        <v/>
      </c>
      <c r="BA60" s="127" t="str">
        <f ca="1">IF(AZ60&lt;&gt;"",IF(ISNA(VLOOKUP($N60,OFFSET(選手情報!$A$6:$M$119,AZ60,0),13,FALSE)),"","/"&amp;VLOOKUP($N60,OFFSET(選手情報!$A$6:$M$119,AZ60,0),13,FALSE)),"")</f>
        <v/>
      </c>
      <c r="BB60" s="127" t="str">
        <f ca="1">IF(AZ60&lt;&gt;"",IF(ISNA(VLOOKUP($N60,OFFSET(選手情報!$A$6:$BD$119,AZ60,0),56,FALSE)),"",VLOOKUP($N60,OFFSET(選手情報!$A$6:$BD$119,AZ60,0),56,FALSE)),"")</f>
        <v/>
      </c>
      <c r="BC60" s="127" t="str">
        <f ca="1">IF(BB60&lt;&gt;"",IF(ISNA(VLOOKUP($N60,OFFSET(選手情報!$A$6:$M$119,BB60,0),13,FALSE)),"","/"&amp;VLOOKUP($N60,OFFSET(選手情報!$A$6:$M$119,BB60,0),13,FALSE)),"")</f>
        <v/>
      </c>
      <c r="BD60" s="127" t="str">
        <f ca="1">IF(BB60&lt;&gt;"",IF(ISNA(VLOOKUP($N60,OFFSET(選手情報!$A$6:$BD$119,BB60,0),56,FALSE)),"",VLOOKUP($N60,OFFSET(選手情報!$A$6:$BD$119,BB60,0),56,FALSE)),"")</f>
        <v/>
      </c>
      <c r="BE60" s="127" t="str">
        <f ca="1">IF(BD60&lt;&gt;"",IF(ISNA(VLOOKUP($N60,OFFSET(選手情報!$A$6:$M$119,BD60,0),13,FALSE)),"","/"&amp;VLOOKUP($N60,OFFSET(選手情報!$A$6:$M$119,BD60,0),13,FALSE)),"")</f>
        <v/>
      </c>
      <c r="BF60" s="127" t="str">
        <f ca="1">IF(BD60&lt;&gt;"",IF(ISNA(VLOOKUP($N60,OFFSET(選手情報!$A$6:$BD$119,BD60,0),56,FALSE)),"",VLOOKUP($N60,OFFSET(選手情報!$A$6:$BD$119,BD60,0),56,FALSE)),"")</f>
        <v/>
      </c>
      <c r="BG60" s="127" t="str">
        <f ca="1">IF(BF60&lt;&gt;"",IF(ISNA(VLOOKUP($N60,OFFSET(選手情報!$A$6:$M$119,BF60,0),13,FALSE)),"","/"&amp;VLOOKUP($N60,OFFSET(選手情報!$A$6:$M$119,BF60,0),13,FALSE)),"")</f>
        <v/>
      </c>
      <c r="BH60" s="127" t="str">
        <f ca="1">IF(BF60&lt;&gt;"",IF(ISNA(VLOOKUP($N60,OFFSET(選手情報!$A$6:$BD$119,BF60,0),56,FALSE)),"",VLOOKUP($N60,OFFSET(選手情報!$A$6:$BD$119,BF60,0),56,FALSE)),"")</f>
        <v/>
      </c>
      <c r="BI60" s="127" t="str">
        <f ca="1">IF(BH60&lt;&gt;"",IF(ISNA(VLOOKUP($N60,OFFSET(選手情報!$A$6:$M$119,BH60,0),13,FALSE)),"","/"&amp;VLOOKUP($N60,OFFSET(選手情報!$A$6:$M$119,BH60,0),13,FALSE)),"")</f>
        <v/>
      </c>
    </row>
    <row r="61" spans="1:61" s="127" customFormat="1" ht="12.6" customHeight="1">
      <c r="A61" s="128" t="str">
        <f>IF(ISNA(VLOOKUP($C$2&amp;N61,選手データ!A:H,3,FALSE)),"",IF(M61&lt;&gt;M60,VLOOKUP($C$2&amp;N61,選手データ!A:H,3,FALSE),""))</f>
        <v/>
      </c>
      <c r="B61" s="129" t="str">
        <f>IF(A61&lt;&gt;"",VLOOKUP($C$2&amp;N61,選手データ!A:H,4,FALSE),"")</f>
        <v/>
      </c>
      <c r="C61" s="129" t="str">
        <f>IF(A61&lt;&gt;"",VLOOKUP($C$2&amp;N61,選手データ!A:H,5,FALSE),"")</f>
        <v/>
      </c>
      <c r="D61" s="129" t="str">
        <f>IF(A61&lt;&gt;"",VLOOKUP($C$2&amp;N61,選手データ!A:H,6,FALSE),"")</f>
        <v/>
      </c>
      <c r="E61" s="129" t="str">
        <f>IF(A61&lt;&gt;"",VLOOKUP($C$2&amp;N61,選手データ!A:H,7,FALSE),"")</f>
        <v/>
      </c>
      <c r="F61" s="130" t="str">
        <f>IF(A61&lt;&gt;"",VLOOKUP($C$2&amp;N61,選手データ!A:H,8,FALSE),"")</f>
        <v/>
      </c>
      <c r="G61" s="130" t="str">
        <f>IF(F61&lt;&gt;"",IF(DATEDIF(F61,設定!$B$12,"Y")&lt;20,"〇",""),"")</f>
        <v/>
      </c>
      <c r="H61" s="131" t="str">
        <f t="shared" ca="1" si="0"/>
        <v/>
      </c>
      <c r="I61" s="132" t="str">
        <f t="shared" ca="1" si="1"/>
        <v/>
      </c>
      <c r="J61" s="131" t="str">
        <f t="shared" ca="1" si="2"/>
        <v/>
      </c>
      <c r="K61" s="130" t="str">
        <f>IF(A61&lt;&gt;"",IF(COUNTIF(リレーチーム情報!$B$5:$B$10,A61&amp;E61)=1,"〇",""),"")</f>
        <v/>
      </c>
      <c r="L61" s="133" t="str">
        <f>IF(A61&lt;&gt;"",IF(COUNTIF(リレーチーム情報!$B$11:$B$16,A61&amp;E61)=1,"〇",""),"")</f>
        <v/>
      </c>
      <c r="M61" s="127">
        <f>IF(学校情報!$A$4&lt;&gt;"",0,IF(S60=0,MAX($M$37:M60)+1,M60))</f>
        <v>0</v>
      </c>
      <c r="N61" s="127" t="str">
        <f>IF(M61&lt;&gt;0,VLOOKUP(M61,選手情報!BF:BG,2,FALSE),"")</f>
        <v/>
      </c>
      <c r="O61" s="127" t="str">
        <f ca="1">IF(M61&lt;&gt;0,VLOOKUP(N61,OFFSET(選手情報!$A$6:$W$119,IF(M61&lt;&gt;M60,0,R60),0),13,FALSE),"")</f>
        <v/>
      </c>
      <c r="P61" s="127" t="str">
        <f ca="1">IF(M61&lt;&gt;0,VLOOKUP(N61,OFFSET(選手情報!$A$6:$W$119,IF(M61&lt;&gt;M60,0,R60),0),16,FALSE),"")</f>
        <v/>
      </c>
      <c r="Q61" s="127" t="str">
        <f ca="1">IF(M61&lt;&gt;0,VLOOKUP(N61,OFFSET(選手情報!$A$6:$W$119,IF(M61&lt;&gt;M60,0,R60),0),21,FALSE),"")</f>
        <v/>
      </c>
      <c r="R61" s="127">
        <f ca="1">IF(M61&lt;&gt;0,VLOOKUP(N61,OFFSET(選手情報!$A$6:$BD$119,IF(M61&lt;&gt;M60,0,R60),0),56,FALSE),0)</f>
        <v>0</v>
      </c>
      <c r="S61" s="127">
        <f ca="1">IF(M61&lt;&gt;0,IF(ISNA(R61),0,COUNTIF(OFFSET(選手情報!$A$6:$A$119,R61,0),N61)),0)</f>
        <v>0</v>
      </c>
      <c r="U61" s="127">
        <f t="shared" si="3"/>
        <v>0</v>
      </c>
      <c r="V61" s="127">
        <f t="shared" ca="1" si="4"/>
        <v>1</v>
      </c>
      <c r="W61" s="127">
        <f t="shared" ca="1" si="5"/>
        <v>0</v>
      </c>
      <c r="X61" s="127" t="str">
        <f t="shared" ca="1" si="6"/>
        <v/>
      </c>
      <c r="Y61" s="127" t="str">
        <f>IF($A61&lt;&gt;"",IF(ISNA(VLOOKUP($N61,選手情報!$A$6:$M$119,13,FALSE)),"","/"&amp;VLOOKUP($N61,選手情報!$A$6:$M$119,13,FALSE)),"")</f>
        <v/>
      </c>
      <c r="Z61" s="127" t="str">
        <f ca="1">IF(Y61&lt;&gt;"",IF(ISNA(VLOOKUP($N61,OFFSET(選手情報!$A$6:$BD$119,0,0),56,FALSE)),"",VLOOKUP($N61,OFFSET(選手情報!$A$6:$BD$119,0,0),56,FALSE)),"")</f>
        <v/>
      </c>
      <c r="AA61" s="127" t="str">
        <f ca="1">IF(Z61&lt;&gt;"",IF(ISNA(VLOOKUP($N61,OFFSET(選手情報!$A$6:$M$119,Z61,0),13,FALSE)),"","/"&amp;VLOOKUP($N61,OFFSET(選手情報!$A$6:$M$119,Z61,0),13,FALSE)),"")</f>
        <v/>
      </c>
      <c r="AB61" s="127" t="str">
        <f ca="1">IF(Z61&lt;&gt;"",IF(ISNA(VLOOKUP($N61,OFFSET(選手情報!$A$6:$BD$119,Z61,0),56,FALSE)),"",VLOOKUP($N61,OFFSET(選手情報!$A$6:$BD$119,Z61,0),56,FALSE)),"")</f>
        <v/>
      </c>
      <c r="AC61" s="127" t="str">
        <f ca="1">IF(AB61&lt;&gt;"",IF(ISNA(VLOOKUP($N61,OFFSET(選手情報!$A$6:$M$119,AB61,0),13,FALSE)),"","/"&amp;VLOOKUP($N61,OFFSET(選手情報!$A$6:$M$119,AB61,0),13,FALSE)),"")</f>
        <v/>
      </c>
      <c r="AD61" s="127" t="str">
        <f ca="1">IF(AB61&lt;&gt;"",IF(ISNA(VLOOKUP($N61,OFFSET(選手情報!$A$6:$BD$119,AB61,0),56,FALSE)),"",VLOOKUP($N61,OFFSET(選手情報!$A$6:$BD$119,AB61,0),56,FALSE)),"")</f>
        <v/>
      </c>
      <c r="AE61" s="127" t="str">
        <f ca="1">IF(AD61&lt;&gt;"",IF(ISNA(VLOOKUP($N61,OFFSET(選手情報!$A$6:$M$119,AD61,0),13,FALSE)),"","/"&amp;VLOOKUP($N61,OFFSET(選手情報!$A$6:$M$119,AD61,0),13,FALSE)),"")</f>
        <v/>
      </c>
      <c r="AF61" s="127" t="str">
        <f ca="1">IF(AD61&lt;&gt;"",IF(ISNA(VLOOKUP($N61,OFFSET(選手情報!$A$6:$BD$119,AD61,0),56,FALSE)),"",VLOOKUP($N61,OFFSET(選手情報!$A$6:$BD$119,AD61,0),56,FALSE)),"")</f>
        <v/>
      </c>
      <c r="AG61" s="127" t="str">
        <f ca="1">IF(AF61&lt;&gt;"",IF(ISNA(VLOOKUP($N61,OFFSET(選手情報!$A$6:$M$119,AF61,0),13,FALSE)),"","/"&amp;VLOOKUP($N61,OFFSET(選手情報!$A$6:$M$119,AF61,0),13,FALSE)),"")</f>
        <v/>
      </c>
      <c r="AH61" s="127" t="str">
        <f ca="1">IF(AF61&lt;&gt;"",IF(ISNA(VLOOKUP($N61,OFFSET(選手情報!$A$6:$BD$119,AF61,0),56,FALSE)),"",VLOOKUP($N61,OFFSET(選手情報!$A$6:$BD$119,AF61,0),56,FALSE)),"")</f>
        <v/>
      </c>
      <c r="AI61" s="127" t="str">
        <f ca="1">IF(AH61&lt;&gt;"",IF(ISNA(VLOOKUP($N61,OFFSET(選手情報!$A$6:$M$119,AH61,0),13,FALSE)),"","/"&amp;VLOOKUP($N61,OFFSET(選手情報!$A$6:$M$119,AH61,0),13,FALSE)),"")</f>
        <v/>
      </c>
      <c r="AJ61" s="127" t="str">
        <f ca="1">IF(AH61&lt;&gt;"",IF(ISNA(VLOOKUP($N61,OFFSET(選手情報!$A$6:$BD$119,AH61,0),56,FALSE)),"",VLOOKUP($N61,OFFSET(選手情報!$A$6:$BD$119,AH61,0),56,FALSE)),"")</f>
        <v/>
      </c>
      <c r="AK61" s="127" t="str">
        <f ca="1">IF(AJ61&lt;&gt;"",IF(ISNA(VLOOKUP($N61,OFFSET(選手情報!$A$6:$M$119,AJ61,0),13,FALSE)),"","/"&amp;VLOOKUP($N61,OFFSET(選手情報!$A$6:$M$119,AJ61,0),13,FALSE)),"")</f>
        <v/>
      </c>
      <c r="AL61" s="127" t="str">
        <f ca="1">IF(AJ61&lt;&gt;"",IF(ISNA(VLOOKUP($N61,OFFSET(選手情報!$A$6:$BD$119,AJ61,0),56,FALSE)),"",VLOOKUP($N61,OFFSET(選手情報!$A$6:$BD$119,AJ61,0),56,FALSE)),"")</f>
        <v/>
      </c>
      <c r="AM61" s="127" t="str">
        <f ca="1">IF(AL61&lt;&gt;"",IF(ISNA(VLOOKUP($N61,OFFSET(選手情報!$A$6:$M$119,AL61,0),13,FALSE)),"","/"&amp;VLOOKUP($N61,OFFSET(選手情報!$A$6:$M$119,AL61,0),13,FALSE)),"")</f>
        <v/>
      </c>
      <c r="AN61" s="127" t="str">
        <f ca="1">IF(AL61&lt;&gt;"",IF(ISNA(VLOOKUP($N61,OFFSET(選手情報!$A$6:$BD$119,AL61,0),56,FALSE)),"",VLOOKUP($N61,OFFSET(選手情報!$A$6:$BD$119,AL61,0),56,FALSE)),"")</f>
        <v/>
      </c>
      <c r="AO61" s="127" t="str">
        <f ca="1">IF(AN61&lt;&gt;"",IF(ISNA(VLOOKUP($N61,OFFSET(選手情報!$A$6:$M$119,AN61,0),13,FALSE)),"","/"&amp;VLOOKUP($N61,OFFSET(選手情報!$A$6:$M$119,AN61,0),13,FALSE)),"")</f>
        <v/>
      </c>
      <c r="AP61" s="127" t="str">
        <f ca="1">IF(AN61&lt;&gt;"",IF(ISNA(VLOOKUP($N61,OFFSET(選手情報!$A$6:$BD$119,AN61,0),56,FALSE)),"",VLOOKUP($N61,OFFSET(選手情報!$A$6:$BD$119,AN61,0),56,FALSE)),"")</f>
        <v/>
      </c>
      <c r="AQ61" s="127" t="str">
        <f ca="1">IF(AP61&lt;&gt;"",IF(ISNA(VLOOKUP($N61,OFFSET(選手情報!$A$6:$M$119,AP61,0),13,FALSE)),"","/"&amp;VLOOKUP($N61,OFFSET(選手情報!$A$6:$M$119,AP61,0),13,FALSE)),"")</f>
        <v/>
      </c>
      <c r="AR61" s="127" t="str">
        <f ca="1">IF(AP61&lt;&gt;"",IF(ISNA(VLOOKUP($N61,OFFSET(選手情報!$A$6:$BD$119,AP61,0),56,FALSE)),"",VLOOKUP($N61,OFFSET(選手情報!$A$6:$BD$119,AP61,0),56,FALSE)),"")</f>
        <v/>
      </c>
      <c r="AS61" s="127" t="str">
        <f ca="1">IF(AR61&lt;&gt;"",IF(ISNA(VLOOKUP($N61,OFFSET(選手情報!$A$6:$M$119,AR61,0),13,FALSE)),"","/"&amp;VLOOKUP($N61,OFFSET(選手情報!$A$6:$M$119,AR61,0),13,FALSE)),"")</f>
        <v/>
      </c>
      <c r="AT61" s="127" t="str">
        <f ca="1">IF(AR61&lt;&gt;"",IF(ISNA(VLOOKUP($N61,OFFSET(選手情報!$A$6:$BD$119,AR61,0),56,FALSE)),"",VLOOKUP($N61,OFFSET(選手情報!$A$6:$BD$119,AR61,0),56,FALSE)),"")</f>
        <v/>
      </c>
      <c r="AU61" s="127" t="str">
        <f ca="1">IF(AT61&lt;&gt;"",IF(ISNA(VLOOKUP($N61,OFFSET(選手情報!$A$6:$M$119,AT61,0),13,FALSE)),"","/"&amp;VLOOKUP($N61,OFFSET(選手情報!$A$6:$M$119,AT61,0),13,FALSE)),"")</f>
        <v/>
      </c>
      <c r="AV61" s="127" t="str">
        <f ca="1">IF(AT61&lt;&gt;"",IF(ISNA(VLOOKUP($N61,OFFSET(選手情報!$A$6:$BD$119,AT61,0),56,FALSE)),"",VLOOKUP($N61,OFFSET(選手情報!$A$6:$BD$119,AT61,0),56,FALSE)),"")</f>
        <v/>
      </c>
      <c r="AW61" s="127" t="str">
        <f ca="1">IF(AV61&lt;&gt;"",IF(ISNA(VLOOKUP($N61,OFFSET(選手情報!$A$6:$M$119,AV61,0),13,FALSE)),"","/"&amp;VLOOKUP($N61,OFFSET(選手情報!$A$6:$M$119,AV61,0),13,FALSE)),"")</f>
        <v/>
      </c>
      <c r="AX61" s="127" t="str">
        <f ca="1">IF(AV61&lt;&gt;"",IF(ISNA(VLOOKUP($N61,OFFSET(選手情報!$A$6:$BD$119,AV61,0),56,FALSE)),"",VLOOKUP($N61,OFFSET(選手情報!$A$6:$BD$119,AV61,0),56,FALSE)),"")</f>
        <v/>
      </c>
      <c r="AY61" s="127" t="str">
        <f ca="1">IF(AX61&lt;&gt;"",IF(ISNA(VLOOKUP($N61,OFFSET(選手情報!$A$6:$M$119,AX61,0),13,FALSE)),"","/"&amp;VLOOKUP($N61,OFFSET(選手情報!$A$6:$M$119,AX61,0),13,FALSE)),"")</f>
        <v/>
      </c>
      <c r="AZ61" s="127" t="str">
        <f ca="1">IF(AX61&lt;&gt;"",IF(ISNA(VLOOKUP($N61,OFFSET(選手情報!$A$6:$BD$119,AX61,0),56,FALSE)),"",VLOOKUP($N61,OFFSET(選手情報!$A$6:$BD$119,AX61,0),56,FALSE)),"")</f>
        <v/>
      </c>
      <c r="BA61" s="127" t="str">
        <f ca="1">IF(AZ61&lt;&gt;"",IF(ISNA(VLOOKUP($N61,OFFSET(選手情報!$A$6:$M$119,AZ61,0),13,FALSE)),"","/"&amp;VLOOKUP($N61,OFFSET(選手情報!$A$6:$M$119,AZ61,0),13,FALSE)),"")</f>
        <v/>
      </c>
      <c r="BB61" s="127" t="str">
        <f ca="1">IF(AZ61&lt;&gt;"",IF(ISNA(VLOOKUP($N61,OFFSET(選手情報!$A$6:$BD$119,AZ61,0),56,FALSE)),"",VLOOKUP($N61,OFFSET(選手情報!$A$6:$BD$119,AZ61,0),56,FALSE)),"")</f>
        <v/>
      </c>
      <c r="BC61" s="127" t="str">
        <f ca="1">IF(BB61&lt;&gt;"",IF(ISNA(VLOOKUP($N61,OFFSET(選手情報!$A$6:$M$119,BB61,0),13,FALSE)),"","/"&amp;VLOOKUP($N61,OFFSET(選手情報!$A$6:$M$119,BB61,0),13,FALSE)),"")</f>
        <v/>
      </c>
      <c r="BD61" s="127" t="str">
        <f ca="1">IF(BB61&lt;&gt;"",IF(ISNA(VLOOKUP($N61,OFFSET(選手情報!$A$6:$BD$119,BB61,0),56,FALSE)),"",VLOOKUP($N61,OFFSET(選手情報!$A$6:$BD$119,BB61,0),56,FALSE)),"")</f>
        <v/>
      </c>
      <c r="BE61" s="127" t="str">
        <f ca="1">IF(BD61&lt;&gt;"",IF(ISNA(VLOOKUP($N61,OFFSET(選手情報!$A$6:$M$119,BD61,0),13,FALSE)),"","/"&amp;VLOOKUP($N61,OFFSET(選手情報!$A$6:$M$119,BD61,0),13,FALSE)),"")</f>
        <v/>
      </c>
      <c r="BF61" s="127" t="str">
        <f ca="1">IF(BD61&lt;&gt;"",IF(ISNA(VLOOKUP($N61,OFFSET(選手情報!$A$6:$BD$119,BD61,0),56,FALSE)),"",VLOOKUP($N61,OFFSET(選手情報!$A$6:$BD$119,BD61,0),56,FALSE)),"")</f>
        <v/>
      </c>
      <c r="BG61" s="127" t="str">
        <f ca="1">IF(BF61&lt;&gt;"",IF(ISNA(VLOOKUP($N61,OFFSET(選手情報!$A$6:$M$119,BF61,0),13,FALSE)),"","/"&amp;VLOOKUP($N61,OFFSET(選手情報!$A$6:$M$119,BF61,0),13,FALSE)),"")</f>
        <v/>
      </c>
      <c r="BH61" s="127" t="str">
        <f ca="1">IF(BF61&lt;&gt;"",IF(ISNA(VLOOKUP($N61,OFFSET(選手情報!$A$6:$BD$119,BF61,0),56,FALSE)),"",VLOOKUP($N61,OFFSET(選手情報!$A$6:$BD$119,BF61,0),56,FALSE)),"")</f>
        <v/>
      </c>
      <c r="BI61" s="127" t="str">
        <f ca="1">IF(BH61&lt;&gt;"",IF(ISNA(VLOOKUP($N61,OFFSET(選手情報!$A$6:$M$119,BH61,0),13,FALSE)),"","/"&amp;VLOOKUP($N61,OFFSET(選手情報!$A$6:$M$119,BH61,0),13,FALSE)),"")</f>
        <v/>
      </c>
    </row>
    <row r="62" spans="1:61" s="127" customFormat="1" ht="12.6" customHeight="1">
      <c r="A62" s="128" t="str">
        <f>IF(ISNA(VLOOKUP($C$2&amp;N62,選手データ!A:H,3,FALSE)),"",IF(M62&lt;&gt;M61,VLOOKUP($C$2&amp;N62,選手データ!A:H,3,FALSE),""))</f>
        <v/>
      </c>
      <c r="B62" s="129" t="str">
        <f>IF(A62&lt;&gt;"",VLOOKUP($C$2&amp;N62,選手データ!A:H,4,FALSE),"")</f>
        <v/>
      </c>
      <c r="C62" s="129" t="str">
        <f>IF(A62&lt;&gt;"",VLOOKUP($C$2&amp;N62,選手データ!A:H,5,FALSE),"")</f>
        <v/>
      </c>
      <c r="D62" s="129" t="str">
        <f>IF(A62&lt;&gt;"",VLOOKUP($C$2&amp;N62,選手データ!A:H,6,FALSE),"")</f>
        <v/>
      </c>
      <c r="E62" s="129" t="str">
        <f>IF(A62&lt;&gt;"",VLOOKUP($C$2&amp;N62,選手データ!A:H,7,FALSE),"")</f>
        <v/>
      </c>
      <c r="F62" s="130" t="str">
        <f>IF(A62&lt;&gt;"",VLOOKUP($C$2&amp;N62,選手データ!A:H,8,FALSE),"")</f>
        <v/>
      </c>
      <c r="G62" s="130" t="str">
        <f>IF(F62&lt;&gt;"",IF(DATEDIF(F62,設定!$B$12,"Y")&lt;20,"〇",""),"")</f>
        <v/>
      </c>
      <c r="H62" s="131" t="str">
        <f t="shared" ca="1" si="0"/>
        <v/>
      </c>
      <c r="I62" s="132" t="str">
        <f t="shared" ca="1" si="1"/>
        <v/>
      </c>
      <c r="J62" s="131" t="str">
        <f t="shared" ca="1" si="2"/>
        <v/>
      </c>
      <c r="K62" s="130" t="str">
        <f>IF(A62&lt;&gt;"",IF(COUNTIF(リレーチーム情報!$B$5:$B$10,A62&amp;E62)=1,"〇",""),"")</f>
        <v/>
      </c>
      <c r="L62" s="133" t="str">
        <f>IF(A62&lt;&gt;"",IF(COUNTIF(リレーチーム情報!$B$11:$B$16,A62&amp;E62)=1,"〇",""),"")</f>
        <v/>
      </c>
      <c r="M62" s="127">
        <f>IF(学校情報!$A$4&lt;&gt;"",0,IF(S61=0,MAX($M$37:M61)+1,M61))</f>
        <v>0</v>
      </c>
      <c r="N62" s="127" t="str">
        <f>IF(M62&lt;&gt;0,VLOOKUP(M62,選手情報!BF:BG,2,FALSE),"")</f>
        <v/>
      </c>
      <c r="O62" s="127" t="str">
        <f ca="1">IF(M62&lt;&gt;0,VLOOKUP(N62,OFFSET(選手情報!$A$6:$W$119,IF(M62&lt;&gt;M61,0,R61),0),13,FALSE),"")</f>
        <v/>
      </c>
      <c r="P62" s="127" t="str">
        <f ca="1">IF(M62&lt;&gt;0,VLOOKUP(N62,OFFSET(選手情報!$A$6:$W$119,IF(M62&lt;&gt;M61,0,R61),0),16,FALSE),"")</f>
        <v/>
      </c>
      <c r="Q62" s="127" t="str">
        <f ca="1">IF(M62&lt;&gt;0,VLOOKUP(N62,OFFSET(選手情報!$A$6:$W$119,IF(M62&lt;&gt;M61,0,R61),0),21,FALSE),"")</f>
        <v/>
      </c>
      <c r="R62" s="127">
        <f ca="1">IF(M62&lt;&gt;0,VLOOKUP(N62,OFFSET(選手情報!$A$6:$BD$119,IF(M62&lt;&gt;M61,0,R61),0),56,FALSE),0)</f>
        <v>0</v>
      </c>
      <c r="S62" s="127">
        <f ca="1">IF(M62&lt;&gt;0,IF(ISNA(R62),0,COUNTIF(OFFSET(選手情報!$A$6:$A$119,R62,0),N62)),0)</f>
        <v>0</v>
      </c>
      <c r="U62" s="127">
        <f t="shared" si="3"/>
        <v>0</v>
      </c>
      <c r="V62" s="127">
        <f t="shared" ca="1" si="4"/>
        <v>1</v>
      </c>
      <c r="W62" s="127">
        <f t="shared" ca="1" si="5"/>
        <v>0</v>
      </c>
      <c r="X62" s="127" t="str">
        <f t="shared" ca="1" si="6"/>
        <v/>
      </c>
      <c r="Y62" s="127" t="str">
        <f>IF($A62&lt;&gt;"",IF(ISNA(VLOOKUP($N62,選手情報!$A$6:$M$119,13,FALSE)),"","/"&amp;VLOOKUP($N62,選手情報!$A$6:$M$119,13,FALSE)),"")</f>
        <v/>
      </c>
      <c r="Z62" s="127" t="str">
        <f ca="1">IF(Y62&lt;&gt;"",IF(ISNA(VLOOKUP($N62,OFFSET(選手情報!$A$6:$BD$119,0,0),56,FALSE)),"",VLOOKUP($N62,OFFSET(選手情報!$A$6:$BD$119,0,0),56,FALSE)),"")</f>
        <v/>
      </c>
      <c r="AA62" s="127" t="str">
        <f ca="1">IF(Z62&lt;&gt;"",IF(ISNA(VLOOKUP($N62,OFFSET(選手情報!$A$6:$M$119,Z62,0),13,FALSE)),"","/"&amp;VLOOKUP($N62,OFFSET(選手情報!$A$6:$M$119,Z62,0),13,FALSE)),"")</f>
        <v/>
      </c>
      <c r="AB62" s="127" t="str">
        <f ca="1">IF(Z62&lt;&gt;"",IF(ISNA(VLOOKUP($N62,OFFSET(選手情報!$A$6:$BD$119,Z62,0),56,FALSE)),"",VLOOKUP($N62,OFFSET(選手情報!$A$6:$BD$119,Z62,0),56,FALSE)),"")</f>
        <v/>
      </c>
      <c r="AC62" s="127" t="str">
        <f ca="1">IF(AB62&lt;&gt;"",IF(ISNA(VLOOKUP($N62,OFFSET(選手情報!$A$6:$M$119,AB62,0),13,FALSE)),"","/"&amp;VLOOKUP($N62,OFFSET(選手情報!$A$6:$M$119,AB62,0),13,FALSE)),"")</f>
        <v/>
      </c>
      <c r="AD62" s="127" t="str">
        <f ca="1">IF(AB62&lt;&gt;"",IF(ISNA(VLOOKUP($N62,OFFSET(選手情報!$A$6:$BD$119,AB62,0),56,FALSE)),"",VLOOKUP($N62,OFFSET(選手情報!$A$6:$BD$119,AB62,0),56,FALSE)),"")</f>
        <v/>
      </c>
      <c r="AE62" s="127" t="str">
        <f ca="1">IF(AD62&lt;&gt;"",IF(ISNA(VLOOKUP($N62,OFFSET(選手情報!$A$6:$M$119,AD62,0),13,FALSE)),"","/"&amp;VLOOKUP($N62,OFFSET(選手情報!$A$6:$M$119,AD62,0),13,FALSE)),"")</f>
        <v/>
      </c>
      <c r="AF62" s="127" t="str">
        <f ca="1">IF(AD62&lt;&gt;"",IF(ISNA(VLOOKUP($N62,OFFSET(選手情報!$A$6:$BD$119,AD62,0),56,FALSE)),"",VLOOKUP($N62,OFFSET(選手情報!$A$6:$BD$119,AD62,0),56,FALSE)),"")</f>
        <v/>
      </c>
      <c r="AG62" s="127" t="str">
        <f ca="1">IF(AF62&lt;&gt;"",IF(ISNA(VLOOKUP($N62,OFFSET(選手情報!$A$6:$M$119,AF62,0),13,FALSE)),"","/"&amp;VLOOKUP($N62,OFFSET(選手情報!$A$6:$M$119,AF62,0),13,FALSE)),"")</f>
        <v/>
      </c>
      <c r="AH62" s="127" t="str">
        <f ca="1">IF(AF62&lt;&gt;"",IF(ISNA(VLOOKUP($N62,OFFSET(選手情報!$A$6:$BD$119,AF62,0),56,FALSE)),"",VLOOKUP($N62,OFFSET(選手情報!$A$6:$BD$119,AF62,0),56,FALSE)),"")</f>
        <v/>
      </c>
      <c r="AI62" s="127" t="str">
        <f ca="1">IF(AH62&lt;&gt;"",IF(ISNA(VLOOKUP($N62,OFFSET(選手情報!$A$6:$M$119,AH62,0),13,FALSE)),"","/"&amp;VLOOKUP($N62,OFFSET(選手情報!$A$6:$M$119,AH62,0),13,FALSE)),"")</f>
        <v/>
      </c>
      <c r="AJ62" s="127" t="str">
        <f ca="1">IF(AH62&lt;&gt;"",IF(ISNA(VLOOKUP($N62,OFFSET(選手情報!$A$6:$BD$119,AH62,0),56,FALSE)),"",VLOOKUP($N62,OFFSET(選手情報!$A$6:$BD$119,AH62,0),56,FALSE)),"")</f>
        <v/>
      </c>
      <c r="AK62" s="127" t="str">
        <f ca="1">IF(AJ62&lt;&gt;"",IF(ISNA(VLOOKUP($N62,OFFSET(選手情報!$A$6:$M$119,AJ62,0),13,FALSE)),"","/"&amp;VLOOKUP($N62,OFFSET(選手情報!$A$6:$M$119,AJ62,0),13,FALSE)),"")</f>
        <v/>
      </c>
      <c r="AL62" s="127" t="str">
        <f ca="1">IF(AJ62&lt;&gt;"",IF(ISNA(VLOOKUP($N62,OFFSET(選手情報!$A$6:$BD$119,AJ62,0),56,FALSE)),"",VLOOKUP($N62,OFFSET(選手情報!$A$6:$BD$119,AJ62,0),56,FALSE)),"")</f>
        <v/>
      </c>
      <c r="AM62" s="127" t="str">
        <f ca="1">IF(AL62&lt;&gt;"",IF(ISNA(VLOOKUP($N62,OFFSET(選手情報!$A$6:$M$119,AL62,0),13,FALSE)),"","/"&amp;VLOOKUP($N62,OFFSET(選手情報!$A$6:$M$119,AL62,0),13,FALSE)),"")</f>
        <v/>
      </c>
      <c r="AN62" s="127" t="str">
        <f ca="1">IF(AL62&lt;&gt;"",IF(ISNA(VLOOKUP($N62,OFFSET(選手情報!$A$6:$BD$119,AL62,0),56,FALSE)),"",VLOOKUP($N62,OFFSET(選手情報!$A$6:$BD$119,AL62,0),56,FALSE)),"")</f>
        <v/>
      </c>
      <c r="AO62" s="127" t="str">
        <f ca="1">IF(AN62&lt;&gt;"",IF(ISNA(VLOOKUP($N62,OFFSET(選手情報!$A$6:$M$119,AN62,0),13,FALSE)),"","/"&amp;VLOOKUP($N62,OFFSET(選手情報!$A$6:$M$119,AN62,0),13,FALSE)),"")</f>
        <v/>
      </c>
      <c r="AP62" s="127" t="str">
        <f ca="1">IF(AN62&lt;&gt;"",IF(ISNA(VLOOKUP($N62,OFFSET(選手情報!$A$6:$BD$119,AN62,0),56,FALSE)),"",VLOOKUP($N62,OFFSET(選手情報!$A$6:$BD$119,AN62,0),56,FALSE)),"")</f>
        <v/>
      </c>
      <c r="AQ62" s="127" t="str">
        <f ca="1">IF(AP62&lt;&gt;"",IF(ISNA(VLOOKUP($N62,OFFSET(選手情報!$A$6:$M$119,AP62,0),13,FALSE)),"","/"&amp;VLOOKUP($N62,OFFSET(選手情報!$A$6:$M$119,AP62,0),13,FALSE)),"")</f>
        <v/>
      </c>
      <c r="AR62" s="127" t="str">
        <f ca="1">IF(AP62&lt;&gt;"",IF(ISNA(VLOOKUP($N62,OFFSET(選手情報!$A$6:$BD$119,AP62,0),56,FALSE)),"",VLOOKUP($N62,OFFSET(選手情報!$A$6:$BD$119,AP62,0),56,FALSE)),"")</f>
        <v/>
      </c>
      <c r="AS62" s="127" t="str">
        <f ca="1">IF(AR62&lt;&gt;"",IF(ISNA(VLOOKUP($N62,OFFSET(選手情報!$A$6:$M$119,AR62,0),13,FALSE)),"","/"&amp;VLOOKUP($N62,OFFSET(選手情報!$A$6:$M$119,AR62,0),13,FALSE)),"")</f>
        <v/>
      </c>
      <c r="AT62" s="127" t="str">
        <f ca="1">IF(AR62&lt;&gt;"",IF(ISNA(VLOOKUP($N62,OFFSET(選手情報!$A$6:$BD$119,AR62,0),56,FALSE)),"",VLOOKUP($N62,OFFSET(選手情報!$A$6:$BD$119,AR62,0),56,FALSE)),"")</f>
        <v/>
      </c>
      <c r="AU62" s="127" t="str">
        <f ca="1">IF(AT62&lt;&gt;"",IF(ISNA(VLOOKUP($N62,OFFSET(選手情報!$A$6:$M$119,AT62,0),13,FALSE)),"","/"&amp;VLOOKUP($N62,OFFSET(選手情報!$A$6:$M$119,AT62,0),13,FALSE)),"")</f>
        <v/>
      </c>
      <c r="AV62" s="127" t="str">
        <f ca="1">IF(AT62&lt;&gt;"",IF(ISNA(VLOOKUP($N62,OFFSET(選手情報!$A$6:$BD$119,AT62,0),56,FALSE)),"",VLOOKUP($N62,OFFSET(選手情報!$A$6:$BD$119,AT62,0),56,FALSE)),"")</f>
        <v/>
      </c>
      <c r="AW62" s="127" t="str">
        <f ca="1">IF(AV62&lt;&gt;"",IF(ISNA(VLOOKUP($N62,OFFSET(選手情報!$A$6:$M$119,AV62,0),13,FALSE)),"","/"&amp;VLOOKUP($N62,OFFSET(選手情報!$A$6:$M$119,AV62,0),13,FALSE)),"")</f>
        <v/>
      </c>
      <c r="AX62" s="127" t="str">
        <f ca="1">IF(AV62&lt;&gt;"",IF(ISNA(VLOOKUP($N62,OFFSET(選手情報!$A$6:$BD$119,AV62,0),56,FALSE)),"",VLOOKUP($N62,OFFSET(選手情報!$A$6:$BD$119,AV62,0),56,FALSE)),"")</f>
        <v/>
      </c>
      <c r="AY62" s="127" t="str">
        <f ca="1">IF(AX62&lt;&gt;"",IF(ISNA(VLOOKUP($N62,OFFSET(選手情報!$A$6:$M$119,AX62,0),13,FALSE)),"","/"&amp;VLOOKUP($N62,OFFSET(選手情報!$A$6:$M$119,AX62,0),13,FALSE)),"")</f>
        <v/>
      </c>
      <c r="AZ62" s="127" t="str">
        <f ca="1">IF(AX62&lt;&gt;"",IF(ISNA(VLOOKUP($N62,OFFSET(選手情報!$A$6:$BD$119,AX62,0),56,FALSE)),"",VLOOKUP($N62,OFFSET(選手情報!$A$6:$BD$119,AX62,0),56,FALSE)),"")</f>
        <v/>
      </c>
      <c r="BA62" s="127" t="str">
        <f ca="1">IF(AZ62&lt;&gt;"",IF(ISNA(VLOOKUP($N62,OFFSET(選手情報!$A$6:$M$119,AZ62,0),13,FALSE)),"","/"&amp;VLOOKUP($N62,OFFSET(選手情報!$A$6:$M$119,AZ62,0),13,FALSE)),"")</f>
        <v/>
      </c>
      <c r="BB62" s="127" t="str">
        <f ca="1">IF(AZ62&lt;&gt;"",IF(ISNA(VLOOKUP($N62,OFFSET(選手情報!$A$6:$BD$119,AZ62,0),56,FALSE)),"",VLOOKUP($N62,OFFSET(選手情報!$A$6:$BD$119,AZ62,0),56,FALSE)),"")</f>
        <v/>
      </c>
      <c r="BC62" s="127" t="str">
        <f ca="1">IF(BB62&lt;&gt;"",IF(ISNA(VLOOKUP($N62,OFFSET(選手情報!$A$6:$M$119,BB62,0),13,FALSE)),"","/"&amp;VLOOKUP($N62,OFFSET(選手情報!$A$6:$M$119,BB62,0),13,FALSE)),"")</f>
        <v/>
      </c>
      <c r="BD62" s="127" t="str">
        <f ca="1">IF(BB62&lt;&gt;"",IF(ISNA(VLOOKUP($N62,OFFSET(選手情報!$A$6:$BD$119,BB62,0),56,FALSE)),"",VLOOKUP($N62,OFFSET(選手情報!$A$6:$BD$119,BB62,0),56,FALSE)),"")</f>
        <v/>
      </c>
      <c r="BE62" s="127" t="str">
        <f ca="1">IF(BD62&lt;&gt;"",IF(ISNA(VLOOKUP($N62,OFFSET(選手情報!$A$6:$M$119,BD62,0),13,FALSE)),"","/"&amp;VLOOKUP($N62,OFFSET(選手情報!$A$6:$M$119,BD62,0),13,FALSE)),"")</f>
        <v/>
      </c>
      <c r="BF62" s="127" t="str">
        <f ca="1">IF(BD62&lt;&gt;"",IF(ISNA(VLOOKUP($N62,OFFSET(選手情報!$A$6:$BD$119,BD62,0),56,FALSE)),"",VLOOKUP($N62,OFFSET(選手情報!$A$6:$BD$119,BD62,0),56,FALSE)),"")</f>
        <v/>
      </c>
      <c r="BG62" s="127" t="str">
        <f ca="1">IF(BF62&lt;&gt;"",IF(ISNA(VLOOKUP($N62,OFFSET(選手情報!$A$6:$M$119,BF62,0),13,FALSE)),"","/"&amp;VLOOKUP($N62,OFFSET(選手情報!$A$6:$M$119,BF62,0),13,FALSE)),"")</f>
        <v/>
      </c>
      <c r="BH62" s="127" t="str">
        <f ca="1">IF(BF62&lt;&gt;"",IF(ISNA(VLOOKUP($N62,OFFSET(選手情報!$A$6:$BD$119,BF62,0),56,FALSE)),"",VLOOKUP($N62,OFFSET(選手情報!$A$6:$BD$119,BF62,0),56,FALSE)),"")</f>
        <v/>
      </c>
      <c r="BI62" s="127" t="str">
        <f ca="1">IF(BH62&lt;&gt;"",IF(ISNA(VLOOKUP($N62,OFFSET(選手情報!$A$6:$M$119,BH62,0),13,FALSE)),"","/"&amp;VLOOKUP($N62,OFFSET(選手情報!$A$6:$M$119,BH62,0),13,FALSE)),"")</f>
        <v/>
      </c>
    </row>
    <row r="63" spans="1:61" s="127" customFormat="1" ht="12.6" customHeight="1">
      <c r="A63" s="128" t="str">
        <f>IF(ISNA(VLOOKUP($C$2&amp;N63,選手データ!A:H,3,FALSE)),"",IF(M63&lt;&gt;M62,VLOOKUP($C$2&amp;N63,選手データ!A:H,3,FALSE),""))</f>
        <v/>
      </c>
      <c r="B63" s="129" t="str">
        <f>IF(A63&lt;&gt;"",VLOOKUP($C$2&amp;N63,選手データ!A:H,4,FALSE),"")</f>
        <v/>
      </c>
      <c r="C63" s="129" t="str">
        <f>IF(A63&lt;&gt;"",VLOOKUP($C$2&amp;N63,選手データ!A:H,5,FALSE),"")</f>
        <v/>
      </c>
      <c r="D63" s="129" t="str">
        <f>IF(A63&lt;&gt;"",VLOOKUP($C$2&amp;N63,選手データ!A:H,6,FALSE),"")</f>
        <v/>
      </c>
      <c r="E63" s="129" t="str">
        <f>IF(A63&lt;&gt;"",VLOOKUP($C$2&amp;N63,選手データ!A:H,7,FALSE),"")</f>
        <v/>
      </c>
      <c r="F63" s="130" t="str">
        <f>IF(A63&lt;&gt;"",VLOOKUP($C$2&amp;N63,選手データ!A:H,8,FALSE),"")</f>
        <v/>
      </c>
      <c r="G63" s="130" t="str">
        <f>IF(F63&lt;&gt;"",IF(DATEDIF(F63,設定!$B$12,"Y")&lt;20,"〇",""),"")</f>
        <v/>
      </c>
      <c r="H63" s="131" t="str">
        <f t="shared" ca="1" si="0"/>
        <v/>
      </c>
      <c r="I63" s="132" t="str">
        <f t="shared" ca="1" si="1"/>
        <v/>
      </c>
      <c r="J63" s="131" t="str">
        <f t="shared" ca="1" si="2"/>
        <v/>
      </c>
      <c r="K63" s="130" t="str">
        <f>IF(A63&lt;&gt;"",IF(COUNTIF(リレーチーム情報!$B$5:$B$10,A63&amp;E63)=1,"〇",""),"")</f>
        <v/>
      </c>
      <c r="L63" s="133" t="str">
        <f>IF(A63&lt;&gt;"",IF(COUNTIF(リレーチーム情報!$B$11:$B$16,A63&amp;E63)=1,"〇",""),"")</f>
        <v/>
      </c>
      <c r="M63" s="127">
        <f>IF(学校情報!$A$4&lt;&gt;"",0,IF(S62=0,MAX($M$37:M62)+1,M62))</f>
        <v>0</v>
      </c>
      <c r="N63" s="127" t="str">
        <f>IF(M63&lt;&gt;0,VLOOKUP(M63,選手情報!BF:BG,2,FALSE),"")</f>
        <v/>
      </c>
      <c r="O63" s="127" t="str">
        <f ca="1">IF(M63&lt;&gt;0,VLOOKUP(N63,OFFSET(選手情報!$A$6:$W$119,IF(M63&lt;&gt;M62,0,R62),0),13,FALSE),"")</f>
        <v/>
      </c>
      <c r="P63" s="127" t="str">
        <f ca="1">IF(M63&lt;&gt;0,VLOOKUP(N63,OFFSET(選手情報!$A$6:$W$119,IF(M63&lt;&gt;M62,0,R62),0),16,FALSE),"")</f>
        <v/>
      </c>
      <c r="Q63" s="127" t="str">
        <f ca="1">IF(M63&lt;&gt;0,VLOOKUP(N63,OFFSET(選手情報!$A$6:$W$119,IF(M63&lt;&gt;M62,0,R62),0),21,FALSE),"")</f>
        <v/>
      </c>
      <c r="R63" s="127">
        <f ca="1">IF(M63&lt;&gt;0,VLOOKUP(N63,OFFSET(選手情報!$A$6:$BD$119,IF(M63&lt;&gt;M62,0,R62),0),56,FALSE),0)</f>
        <v>0</v>
      </c>
      <c r="S63" s="127">
        <f ca="1">IF(M63&lt;&gt;0,IF(ISNA(R63),0,COUNTIF(OFFSET(選手情報!$A$6:$A$119,R63,0),N63)),0)</f>
        <v>0</v>
      </c>
      <c r="U63" s="127">
        <f t="shared" si="3"/>
        <v>0</v>
      </c>
      <c r="V63" s="127">
        <f t="shared" ca="1" si="4"/>
        <v>1</v>
      </c>
      <c r="W63" s="127">
        <f t="shared" ca="1" si="5"/>
        <v>0</v>
      </c>
      <c r="X63" s="127" t="str">
        <f t="shared" ca="1" si="6"/>
        <v/>
      </c>
      <c r="Y63" s="127" t="str">
        <f>IF($A63&lt;&gt;"",IF(ISNA(VLOOKUP($N63,選手情報!$A$6:$M$119,13,FALSE)),"","/"&amp;VLOOKUP($N63,選手情報!$A$6:$M$119,13,FALSE)),"")</f>
        <v/>
      </c>
      <c r="Z63" s="127" t="str">
        <f ca="1">IF(Y63&lt;&gt;"",IF(ISNA(VLOOKUP($N63,OFFSET(選手情報!$A$6:$BD$119,0,0),56,FALSE)),"",VLOOKUP($N63,OFFSET(選手情報!$A$6:$BD$119,0,0),56,FALSE)),"")</f>
        <v/>
      </c>
      <c r="AA63" s="127" t="str">
        <f ca="1">IF(Z63&lt;&gt;"",IF(ISNA(VLOOKUP($N63,OFFSET(選手情報!$A$6:$M$119,Z63,0),13,FALSE)),"","/"&amp;VLOOKUP($N63,OFFSET(選手情報!$A$6:$M$119,Z63,0),13,FALSE)),"")</f>
        <v/>
      </c>
      <c r="AB63" s="127" t="str">
        <f ca="1">IF(Z63&lt;&gt;"",IF(ISNA(VLOOKUP($N63,OFFSET(選手情報!$A$6:$BD$119,Z63,0),56,FALSE)),"",VLOOKUP($N63,OFFSET(選手情報!$A$6:$BD$119,Z63,0),56,FALSE)),"")</f>
        <v/>
      </c>
      <c r="AC63" s="127" t="str">
        <f ca="1">IF(AB63&lt;&gt;"",IF(ISNA(VLOOKUP($N63,OFFSET(選手情報!$A$6:$M$119,AB63,0),13,FALSE)),"","/"&amp;VLOOKUP($N63,OFFSET(選手情報!$A$6:$M$119,AB63,0),13,FALSE)),"")</f>
        <v/>
      </c>
      <c r="AD63" s="127" t="str">
        <f ca="1">IF(AB63&lt;&gt;"",IF(ISNA(VLOOKUP($N63,OFFSET(選手情報!$A$6:$BD$119,AB63,0),56,FALSE)),"",VLOOKUP($N63,OFFSET(選手情報!$A$6:$BD$119,AB63,0),56,FALSE)),"")</f>
        <v/>
      </c>
      <c r="AE63" s="127" t="str">
        <f ca="1">IF(AD63&lt;&gt;"",IF(ISNA(VLOOKUP($N63,OFFSET(選手情報!$A$6:$M$119,AD63,0),13,FALSE)),"","/"&amp;VLOOKUP($N63,OFFSET(選手情報!$A$6:$M$119,AD63,0),13,FALSE)),"")</f>
        <v/>
      </c>
      <c r="AF63" s="127" t="str">
        <f ca="1">IF(AD63&lt;&gt;"",IF(ISNA(VLOOKUP($N63,OFFSET(選手情報!$A$6:$BD$119,AD63,0),56,FALSE)),"",VLOOKUP($N63,OFFSET(選手情報!$A$6:$BD$119,AD63,0),56,FALSE)),"")</f>
        <v/>
      </c>
      <c r="AG63" s="127" t="str">
        <f ca="1">IF(AF63&lt;&gt;"",IF(ISNA(VLOOKUP($N63,OFFSET(選手情報!$A$6:$M$119,AF63,0),13,FALSE)),"","/"&amp;VLOOKUP($N63,OFFSET(選手情報!$A$6:$M$119,AF63,0),13,FALSE)),"")</f>
        <v/>
      </c>
      <c r="AH63" s="127" t="str">
        <f ca="1">IF(AF63&lt;&gt;"",IF(ISNA(VLOOKUP($N63,OFFSET(選手情報!$A$6:$BD$119,AF63,0),56,FALSE)),"",VLOOKUP($N63,OFFSET(選手情報!$A$6:$BD$119,AF63,0),56,FALSE)),"")</f>
        <v/>
      </c>
      <c r="AI63" s="127" t="str">
        <f ca="1">IF(AH63&lt;&gt;"",IF(ISNA(VLOOKUP($N63,OFFSET(選手情報!$A$6:$M$119,AH63,0),13,FALSE)),"","/"&amp;VLOOKUP($N63,OFFSET(選手情報!$A$6:$M$119,AH63,0),13,FALSE)),"")</f>
        <v/>
      </c>
      <c r="AJ63" s="127" t="str">
        <f ca="1">IF(AH63&lt;&gt;"",IF(ISNA(VLOOKUP($N63,OFFSET(選手情報!$A$6:$BD$119,AH63,0),56,FALSE)),"",VLOOKUP($N63,OFFSET(選手情報!$A$6:$BD$119,AH63,0),56,FALSE)),"")</f>
        <v/>
      </c>
      <c r="AK63" s="127" t="str">
        <f ca="1">IF(AJ63&lt;&gt;"",IF(ISNA(VLOOKUP($N63,OFFSET(選手情報!$A$6:$M$119,AJ63,0),13,FALSE)),"","/"&amp;VLOOKUP($N63,OFFSET(選手情報!$A$6:$M$119,AJ63,0),13,FALSE)),"")</f>
        <v/>
      </c>
      <c r="AL63" s="127" t="str">
        <f ca="1">IF(AJ63&lt;&gt;"",IF(ISNA(VLOOKUP($N63,OFFSET(選手情報!$A$6:$BD$119,AJ63,0),56,FALSE)),"",VLOOKUP($N63,OFFSET(選手情報!$A$6:$BD$119,AJ63,0),56,FALSE)),"")</f>
        <v/>
      </c>
      <c r="AM63" s="127" t="str">
        <f ca="1">IF(AL63&lt;&gt;"",IF(ISNA(VLOOKUP($N63,OFFSET(選手情報!$A$6:$M$119,AL63,0),13,FALSE)),"","/"&amp;VLOOKUP($N63,OFFSET(選手情報!$A$6:$M$119,AL63,0),13,FALSE)),"")</f>
        <v/>
      </c>
      <c r="AN63" s="127" t="str">
        <f ca="1">IF(AL63&lt;&gt;"",IF(ISNA(VLOOKUP($N63,OFFSET(選手情報!$A$6:$BD$119,AL63,0),56,FALSE)),"",VLOOKUP($N63,OFFSET(選手情報!$A$6:$BD$119,AL63,0),56,FALSE)),"")</f>
        <v/>
      </c>
      <c r="AO63" s="127" t="str">
        <f ca="1">IF(AN63&lt;&gt;"",IF(ISNA(VLOOKUP($N63,OFFSET(選手情報!$A$6:$M$119,AN63,0),13,FALSE)),"","/"&amp;VLOOKUP($N63,OFFSET(選手情報!$A$6:$M$119,AN63,0),13,FALSE)),"")</f>
        <v/>
      </c>
      <c r="AP63" s="127" t="str">
        <f ca="1">IF(AN63&lt;&gt;"",IF(ISNA(VLOOKUP($N63,OFFSET(選手情報!$A$6:$BD$119,AN63,0),56,FALSE)),"",VLOOKUP($N63,OFFSET(選手情報!$A$6:$BD$119,AN63,0),56,FALSE)),"")</f>
        <v/>
      </c>
      <c r="AQ63" s="127" t="str">
        <f ca="1">IF(AP63&lt;&gt;"",IF(ISNA(VLOOKUP($N63,OFFSET(選手情報!$A$6:$M$119,AP63,0),13,FALSE)),"","/"&amp;VLOOKUP($N63,OFFSET(選手情報!$A$6:$M$119,AP63,0),13,FALSE)),"")</f>
        <v/>
      </c>
      <c r="AR63" s="127" t="str">
        <f ca="1">IF(AP63&lt;&gt;"",IF(ISNA(VLOOKUP($N63,OFFSET(選手情報!$A$6:$BD$119,AP63,0),56,FALSE)),"",VLOOKUP($N63,OFFSET(選手情報!$A$6:$BD$119,AP63,0),56,FALSE)),"")</f>
        <v/>
      </c>
      <c r="AS63" s="127" t="str">
        <f ca="1">IF(AR63&lt;&gt;"",IF(ISNA(VLOOKUP($N63,OFFSET(選手情報!$A$6:$M$119,AR63,0),13,FALSE)),"","/"&amp;VLOOKUP($N63,OFFSET(選手情報!$A$6:$M$119,AR63,0),13,FALSE)),"")</f>
        <v/>
      </c>
      <c r="AT63" s="127" t="str">
        <f ca="1">IF(AR63&lt;&gt;"",IF(ISNA(VLOOKUP($N63,OFFSET(選手情報!$A$6:$BD$119,AR63,0),56,FALSE)),"",VLOOKUP($N63,OFFSET(選手情報!$A$6:$BD$119,AR63,0),56,FALSE)),"")</f>
        <v/>
      </c>
      <c r="AU63" s="127" t="str">
        <f ca="1">IF(AT63&lt;&gt;"",IF(ISNA(VLOOKUP($N63,OFFSET(選手情報!$A$6:$M$119,AT63,0),13,FALSE)),"","/"&amp;VLOOKUP($N63,OFFSET(選手情報!$A$6:$M$119,AT63,0),13,FALSE)),"")</f>
        <v/>
      </c>
      <c r="AV63" s="127" t="str">
        <f ca="1">IF(AT63&lt;&gt;"",IF(ISNA(VLOOKUP($N63,OFFSET(選手情報!$A$6:$BD$119,AT63,0),56,FALSE)),"",VLOOKUP($N63,OFFSET(選手情報!$A$6:$BD$119,AT63,0),56,FALSE)),"")</f>
        <v/>
      </c>
      <c r="AW63" s="127" t="str">
        <f ca="1">IF(AV63&lt;&gt;"",IF(ISNA(VLOOKUP($N63,OFFSET(選手情報!$A$6:$M$119,AV63,0),13,FALSE)),"","/"&amp;VLOOKUP($N63,OFFSET(選手情報!$A$6:$M$119,AV63,0),13,FALSE)),"")</f>
        <v/>
      </c>
      <c r="AX63" s="127" t="str">
        <f ca="1">IF(AV63&lt;&gt;"",IF(ISNA(VLOOKUP($N63,OFFSET(選手情報!$A$6:$BD$119,AV63,0),56,FALSE)),"",VLOOKUP($N63,OFFSET(選手情報!$A$6:$BD$119,AV63,0),56,FALSE)),"")</f>
        <v/>
      </c>
      <c r="AY63" s="127" t="str">
        <f ca="1">IF(AX63&lt;&gt;"",IF(ISNA(VLOOKUP($N63,OFFSET(選手情報!$A$6:$M$119,AX63,0),13,FALSE)),"","/"&amp;VLOOKUP($N63,OFFSET(選手情報!$A$6:$M$119,AX63,0),13,FALSE)),"")</f>
        <v/>
      </c>
      <c r="AZ63" s="127" t="str">
        <f ca="1">IF(AX63&lt;&gt;"",IF(ISNA(VLOOKUP($N63,OFFSET(選手情報!$A$6:$BD$119,AX63,0),56,FALSE)),"",VLOOKUP($N63,OFFSET(選手情報!$A$6:$BD$119,AX63,0),56,FALSE)),"")</f>
        <v/>
      </c>
      <c r="BA63" s="127" t="str">
        <f ca="1">IF(AZ63&lt;&gt;"",IF(ISNA(VLOOKUP($N63,OFFSET(選手情報!$A$6:$M$119,AZ63,0),13,FALSE)),"","/"&amp;VLOOKUP($N63,OFFSET(選手情報!$A$6:$M$119,AZ63,0),13,FALSE)),"")</f>
        <v/>
      </c>
      <c r="BB63" s="127" t="str">
        <f ca="1">IF(AZ63&lt;&gt;"",IF(ISNA(VLOOKUP($N63,OFFSET(選手情報!$A$6:$BD$119,AZ63,0),56,FALSE)),"",VLOOKUP($N63,OFFSET(選手情報!$A$6:$BD$119,AZ63,0),56,FALSE)),"")</f>
        <v/>
      </c>
      <c r="BC63" s="127" t="str">
        <f ca="1">IF(BB63&lt;&gt;"",IF(ISNA(VLOOKUP($N63,OFFSET(選手情報!$A$6:$M$119,BB63,0),13,FALSE)),"","/"&amp;VLOOKUP($N63,OFFSET(選手情報!$A$6:$M$119,BB63,0),13,FALSE)),"")</f>
        <v/>
      </c>
      <c r="BD63" s="127" t="str">
        <f ca="1">IF(BB63&lt;&gt;"",IF(ISNA(VLOOKUP($N63,OFFSET(選手情報!$A$6:$BD$119,BB63,0),56,FALSE)),"",VLOOKUP($N63,OFFSET(選手情報!$A$6:$BD$119,BB63,0),56,FALSE)),"")</f>
        <v/>
      </c>
      <c r="BE63" s="127" t="str">
        <f ca="1">IF(BD63&lt;&gt;"",IF(ISNA(VLOOKUP($N63,OFFSET(選手情報!$A$6:$M$119,BD63,0),13,FALSE)),"","/"&amp;VLOOKUP($N63,OFFSET(選手情報!$A$6:$M$119,BD63,0),13,FALSE)),"")</f>
        <v/>
      </c>
      <c r="BF63" s="127" t="str">
        <f ca="1">IF(BD63&lt;&gt;"",IF(ISNA(VLOOKUP($N63,OFFSET(選手情報!$A$6:$BD$119,BD63,0),56,FALSE)),"",VLOOKUP($N63,OFFSET(選手情報!$A$6:$BD$119,BD63,0),56,FALSE)),"")</f>
        <v/>
      </c>
      <c r="BG63" s="127" t="str">
        <f ca="1">IF(BF63&lt;&gt;"",IF(ISNA(VLOOKUP($N63,OFFSET(選手情報!$A$6:$M$119,BF63,0),13,FALSE)),"","/"&amp;VLOOKUP($N63,OFFSET(選手情報!$A$6:$M$119,BF63,0),13,FALSE)),"")</f>
        <v/>
      </c>
      <c r="BH63" s="127" t="str">
        <f ca="1">IF(BF63&lt;&gt;"",IF(ISNA(VLOOKUP($N63,OFFSET(選手情報!$A$6:$BD$119,BF63,0),56,FALSE)),"",VLOOKUP($N63,OFFSET(選手情報!$A$6:$BD$119,BF63,0),56,FALSE)),"")</f>
        <v/>
      </c>
      <c r="BI63" s="127" t="str">
        <f ca="1">IF(BH63&lt;&gt;"",IF(ISNA(VLOOKUP($N63,OFFSET(選手情報!$A$6:$M$119,BH63,0),13,FALSE)),"","/"&amp;VLOOKUP($N63,OFFSET(選手情報!$A$6:$M$119,BH63,0),13,FALSE)),"")</f>
        <v/>
      </c>
    </row>
    <row r="64" spans="1:61" s="127" customFormat="1" ht="12.6" customHeight="1">
      <c r="A64" s="128" t="str">
        <f>IF(ISNA(VLOOKUP($C$2&amp;N64,選手データ!A:H,3,FALSE)),"",IF(M64&lt;&gt;M63,VLOOKUP($C$2&amp;N64,選手データ!A:H,3,FALSE),""))</f>
        <v/>
      </c>
      <c r="B64" s="129" t="str">
        <f>IF(A64&lt;&gt;"",VLOOKUP($C$2&amp;N64,選手データ!A:H,4,FALSE),"")</f>
        <v/>
      </c>
      <c r="C64" s="129" t="str">
        <f>IF(A64&lt;&gt;"",VLOOKUP($C$2&amp;N64,選手データ!A:H,5,FALSE),"")</f>
        <v/>
      </c>
      <c r="D64" s="129" t="str">
        <f>IF(A64&lt;&gt;"",VLOOKUP($C$2&amp;N64,選手データ!A:H,6,FALSE),"")</f>
        <v/>
      </c>
      <c r="E64" s="129" t="str">
        <f>IF(A64&lt;&gt;"",VLOOKUP($C$2&amp;N64,選手データ!A:H,7,FALSE),"")</f>
        <v/>
      </c>
      <c r="F64" s="130" t="str">
        <f>IF(A64&lt;&gt;"",VLOOKUP($C$2&amp;N64,選手データ!A:H,8,FALSE),"")</f>
        <v/>
      </c>
      <c r="G64" s="130" t="str">
        <f>IF(F64&lt;&gt;"",IF(DATEDIF(F64,設定!$B$12,"Y")&lt;20,"〇",""),"")</f>
        <v/>
      </c>
      <c r="H64" s="131" t="str">
        <f t="shared" ca="1" si="0"/>
        <v/>
      </c>
      <c r="I64" s="132" t="str">
        <f t="shared" ca="1" si="1"/>
        <v/>
      </c>
      <c r="J64" s="131" t="str">
        <f t="shared" ca="1" si="2"/>
        <v/>
      </c>
      <c r="K64" s="130" t="str">
        <f>IF(A64&lt;&gt;"",IF(COUNTIF(リレーチーム情報!$B$5:$B$10,A64&amp;E64)=1,"〇",""),"")</f>
        <v/>
      </c>
      <c r="L64" s="133" t="str">
        <f>IF(A64&lt;&gt;"",IF(COUNTIF(リレーチーム情報!$B$11:$B$16,A64&amp;E64)=1,"〇",""),"")</f>
        <v/>
      </c>
      <c r="M64" s="127">
        <f>IF(学校情報!$A$4&lt;&gt;"",0,IF(S63=0,MAX($M$37:M63)+1,M63))</f>
        <v>0</v>
      </c>
      <c r="N64" s="127" t="str">
        <f>IF(M64&lt;&gt;0,VLOOKUP(M64,選手情報!BF:BG,2,FALSE),"")</f>
        <v/>
      </c>
      <c r="O64" s="127" t="str">
        <f ca="1">IF(M64&lt;&gt;0,VLOOKUP(N64,OFFSET(選手情報!$A$6:$W$119,IF(M64&lt;&gt;M63,0,R63),0),13,FALSE),"")</f>
        <v/>
      </c>
      <c r="P64" s="127" t="str">
        <f ca="1">IF(M64&lt;&gt;0,VLOOKUP(N64,OFFSET(選手情報!$A$6:$W$119,IF(M64&lt;&gt;M63,0,R63),0),16,FALSE),"")</f>
        <v/>
      </c>
      <c r="Q64" s="127" t="str">
        <f ca="1">IF(M64&lt;&gt;0,VLOOKUP(N64,OFFSET(選手情報!$A$6:$W$119,IF(M64&lt;&gt;M63,0,R63),0),21,FALSE),"")</f>
        <v/>
      </c>
      <c r="R64" s="127">
        <f ca="1">IF(M64&lt;&gt;0,VLOOKUP(N64,OFFSET(選手情報!$A$6:$BD$119,IF(M64&lt;&gt;M63,0,R63),0),56,FALSE),0)</f>
        <v>0</v>
      </c>
      <c r="S64" s="127">
        <f ca="1">IF(M64&lt;&gt;0,IF(ISNA(R64),0,COUNTIF(OFFSET(選手情報!$A$6:$A$119,R64,0),N64)),0)</f>
        <v>0</v>
      </c>
      <c r="U64" s="127">
        <f t="shared" si="3"/>
        <v>0</v>
      </c>
      <c r="V64" s="127">
        <f t="shared" ca="1" si="4"/>
        <v>1</v>
      </c>
      <c r="W64" s="127">
        <f t="shared" ca="1" si="5"/>
        <v>0</v>
      </c>
      <c r="X64" s="127" t="str">
        <f t="shared" ca="1" si="6"/>
        <v/>
      </c>
      <c r="Y64" s="127" t="str">
        <f>IF($A64&lt;&gt;"",IF(ISNA(VLOOKUP($N64,選手情報!$A$6:$M$119,13,FALSE)),"","/"&amp;VLOOKUP($N64,選手情報!$A$6:$M$119,13,FALSE)),"")</f>
        <v/>
      </c>
      <c r="Z64" s="127" t="str">
        <f ca="1">IF(Y64&lt;&gt;"",IF(ISNA(VLOOKUP($N64,OFFSET(選手情報!$A$6:$BD$119,0,0),56,FALSE)),"",VLOOKUP($N64,OFFSET(選手情報!$A$6:$BD$119,0,0),56,FALSE)),"")</f>
        <v/>
      </c>
      <c r="AA64" s="127" t="str">
        <f ca="1">IF(Z64&lt;&gt;"",IF(ISNA(VLOOKUP($N64,OFFSET(選手情報!$A$6:$M$119,Z64,0),13,FALSE)),"","/"&amp;VLOOKUP($N64,OFFSET(選手情報!$A$6:$M$119,Z64,0),13,FALSE)),"")</f>
        <v/>
      </c>
      <c r="AB64" s="127" t="str">
        <f ca="1">IF(Z64&lt;&gt;"",IF(ISNA(VLOOKUP($N64,OFFSET(選手情報!$A$6:$BD$119,Z64,0),56,FALSE)),"",VLOOKUP($N64,OFFSET(選手情報!$A$6:$BD$119,Z64,0),56,FALSE)),"")</f>
        <v/>
      </c>
      <c r="AC64" s="127" t="str">
        <f ca="1">IF(AB64&lt;&gt;"",IF(ISNA(VLOOKUP($N64,OFFSET(選手情報!$A$6:$M$119,AB64,0),13,FALSE)),"","/"&amp;VLOOKUP($N64,OFFSET(選手情報!$A$6:$M$119,AB64,0),13,FALSE)),"")</f>
        <v/>
      </c>
      <c r="AD64" s="127" t="str">
        <f ca="1">IF(AB64&lt;&gt;"",IF(ISNA(VLOOKUP($N64,OFFSET(選手情報!$A$6:$BD$119,AB64,0),56,FALSE)),"",VLOOKUP($N64,OFFSET(選手情報!$A$6:$BD$119,AB64,0),56,FALSE)),"")</f>
        <v/>
      </c>
      <c r="AE64" s="127" t="str">
        <f ca="1">IF(AD64&lt;&gt;"",IF(ISNA(VLOOKUP($N64,OFFSET(選手情報!$A$6:$M$119,AD64,0),13,FALSE)),"","/"&amp;VLOOKUP($N64,OFFSET(選手情報!$A$6:$M$119,AD64,0),13,FALSE)),"")</f>
        <v/>
      </c>
      <c r="AF64" s="127" t="str">
        <f ca="1">IF(AD64&lt;&gt;"",IF(ISNA(VLOOKUP($N64,OFFSET(選手情報!$A$6:$BD$119,AD64,0),56,FALSE)),"",VLOOKUP($N64,OFFSET(選手情報!$A$6:$BD$119,AD64,0),56,FALSE)),"")</f>
        <v/>
      </c>
      <c r="AG64" s="127" t="str">
        <f ca="1">IF(AF64&lt;&gt;"",IF(ISNA(VLOOKUP($N64,OFFSET(選手情報!$A$6:$M$119,AF64,0),13,FALSE)),"","/"&amp;VLOOKUP($N64,OFFSET(選手情報!$A$6:$M$119,AF64,0),13,FALSE)),"")</f>
        <v/>
      </c>
      <c r="AH64" s="127" t="str">
        <f ca="1">IF(AF64&lt;&gt;"",IF(ISNA(VLOOKUP($N64,OFFSET(選手情報!$A$6:$BD$119,AF64,0),56,FALSE)),"",VLOOKUP($N64,OFFSET(選手情報!$A$6:$BD$119,AF64,0),56,FALSE)),"")</f>
        <v/>
      </c>
      <c r="AI64" s="127" t="str">
        <f ca="1">IF(AH64&lt;&gt;"",IF(ISNA(VLOOKUP($N64,OFFSET(選手情報!$A$6:$M$119,AH64,0),13,FALSE)),"","/"&amp;VLOOKUP($N64,OFFSET(選手情報!$A$6:$M$119,AH64,0),13,FALSE)),"")</f>
        <v/>
      </c>
      <c r="AJ64" s="127" t="str">
        <f ca="1">IF(AH64&lt;&gt;"",IF(ISNA(VLOOKUP($N64,OFFSET(選手情報!$A$6:$BD$119,AH64,0),56,FALSE)),"",VLOOKUP($N64,OFFSET(選手情報!$A$6:$BD$119,AH64,0),56,FALSE)),"")</f>
        <v/>
      </c>
      <c r="AK64" s="127" t="str">
        <f ca="1">IF(AJ64&lt;&gt;"",IF(ISNA(VLOOKUP($N64,OFFSET(選手情報!$A$6:$M$119,AJ64,0),13,FALSE)),"","/"&amp;VLOOKUP($N64,OFFSET(選手情報!$A$6:$M$119,AJ64,0),13,FALSE)),"")</f>
        <v/>
      </c>
      <c r="AL64" s="127" t="str">
        <f ca="1">IF(AJ64&lt;&gt;"",IF(ISNA(VLOOKUP($N64,OFFSET(選手情報!$A$6:$BD$119,AJ64,0),56,FALSE)),"",VLOOKUP($N64,OFFSET(選手情報!$A$6:$BD$119,AJ64,0),56,FALSE)),"")</f>
        <v/>
      </c>
      <c r="AM64" s="127" t="str">
        <f ca="1">IF(AL64&lt;&gt;"",IF(ISNA(VLOOKUP($N64,OFFSET(選手情報!$A$6:$M$119,AL64,0),13,FALSE)),"","/"&amp;VLOOKUP($N64,OFFSET(選手情報!$A$6:$M$119,AL64,0),13,FALSE)),"")</f>
        <v/>
      </c>
      <c r="AN64" s="127" t="str">
        <f ca="1">IF(AL64&lt;&gt;"",IF(ISNA(VLOOKUP($N64,OFFSET(選手情報!$A$6:$BD$119,AL64,0),56,FALSE)),"",VLOOKUP($N64,OFFSET(選手情報!$A$6:$BD$119,AL64,0),56,FALSE)),"")</f>
        <v/>
      </c>
      <c r="AO64" s="127" t="str">
        <f ca="1">IF(AN64&lt;&gt;"",IF(ISNA(VLOOKUP($N64,OFFSET(選手情報!$A$6:$M$119,AN64,0),13,FALSE)),"","/"&amp;VLOOKUP($N64,OFFSET(選手情報!$A$6:$M$119,AN64,0),13,FALSE)),"")</f>
        <v/>
      </c>
      <c r="AP64" s="127" t="str">
        <f ca="1">IF(AN64&lt;&gt;"",IF(ISNA(VLOOKUP($N64,OFFSET(選手情報!$A$6:$BD$119,AN64,0),56,FALSE)),"",VLOOKUP($N64,OFFSET(選手情報!$A$6:$BD$119,AN64,0),56,FALSE)),"")</f>
        <v/>
      </c>
      <c r="AQ64" s="127" t="str">
        <f ca="1">IF(AP64&lt;&gt;"",IF(ISNA(VLOOKUP($N64,OFFSET(選手情報!$A$6:$M$119,AP64,0),13,FALSE)),"","/"&amp;VLOOKUP($N64,OFFSET(選手情報!$A$6:$M$119,AP64,0),13,FALSE)),"")</f>
        <v/>
      </c>
      <c r="AR64" s="127" t="str">
        <f ca="1">IF(AP64&lt;&gt;"",IF(ISNA(VLOOKUP($N64,OFFSET(選手情報!$A$6:$BD$119,AP64,0),56,FALSE)),"",VLOOKUP($N64,OFFSET(選手情報!$A$6:$BD$119,AP64,0),56,FALSE)),"")</f>
        <v/>
      </c>
      <c r="AS64" s="127" t="str">
        <f ca="1">IF(AR64&lt;&gt;"",IF(ISNA(VLOOKUP($N64,OFFSET(選手情報!$A$6:$M$119,AR64,0),13,FALSE)),"","/"&amp;VLOOKUP($N64,OFFSET(選手情報!$A$6:$M$119,AR64,0),13,FALSE)),"")</f>
        <v/>
      </c>
      <c r="AT64" s="127" t="str">
        <f ca="1">IF(AR64&lt;&gt;"",IF(ISNA(VLOOKUP($N64,OFFSET(選手情報!$A$6:$BD$119,AR64,0),56,FALSE)),"",VLOOKUP($N64,OFFSET(選手情報!$A$6:$BD$119,AR64,0),56,FALSE)),"")</f>
        <v/>
      </c>
      <c r="AU64" s="127" t="str">
        <f ca="1">IF(AT64&lt;&gt;"",IF(ISNA(VLOOKUP($N64,OFFSET(選手情報!$A$6:$M$119,AT64,0),13,FALSE)),"","/"&amp;VLOOKUP($N64,OFFSET(選手情報!$A$6:$M$119,AT64,0),13,FALSE)),"")</f>
        <v/>
      </c>
      <c r="AV64" s="127" t="str">
        <f ca="1">IF(AT64&lt;&gt;"",IF(ISNA(VLOOKUP($N64,OFFSET(選手情報!$A$6:$BD$119,AT64,0),56,FALSE)),"",VLOOKUP($N64,OFFSET(選手情報!$A$6:$BD$119,AT64,0),56,FALSE)),"")</f>
        <v/>
      </c>
      <c r="AW64" s="127" t="str">
        <f ca="1">IF(AV64&lt;&gt;"",IF(ISNA(VLOOKUP($N64,OFFSET(選手情報!$A$6:$M$119,AV64,0),13,FALSE)),"","/"&amp;VLOOKUP($N64,OFFSET(選手情報!$A$6:$M$119,AV64,0),13,FALSE)),"")</f>
        <v/>
      </c>
      <c r="AX64" s="127" t="str">
        <f ca="1">IF(AV64&lt;&gt;"",IF(ISNA(VLOOKUP($N64,OFFSET(選手情報!$A$6:$BD$119,AV64,0),56,FALSE)),"",VLOOKUP($N64,OFFSET(選手情報!$A$6:$BD$119,AV64,0),56,FALSE)),"")</f>
        <v/>
      </c>
      <c r="AY64" s="127" t="str">
        <f ca="1">IF(AX64&lt;&gt;"",IF(ISNA(VLOOKUP($N64,OFFSET(選手情報!$A$6:$M$119,AX64,0),13,FALSE)),"","/"&amp;VLOOKUP($N64,OFFSET(選手情報!$A$6:$M$119,AX64,0),13,FALSE)),"")</f>
        <v/>
      </c>
      <c r="AZ64" s="127" t="str">
        <f ca="1">IF(AX64&lt;&gt;"",IF(ISNA(VLOOKUP($N64,OFFSET(選手情報!$A$6:$BD$119,AX64,0),56,FALSE)),"",VLOOKUP($N64,OFFSET(選手情報!$A$6:$BD$119,AX64,0),56,FALSE)),"")</f>
        <v/>
      </c>
      <c r="BA64" s="127" t="str">
        <f ca="1">IF(AZ64&lt;&gt;"",IF(ISNA(VLOOKUP($N64,OFFSET(選手情報!$A$6:$M$119,AZ64,0),13,FALSE)),"","/"&amp;VLOOKUP($N64,OFFSET(選手情報!$A$6:$M$119,AZ64,0),13,FALSE)),"")</f>
        <v/>
      </c>
      <c r="BB64" s="127" t="str">
        <f ca="1">IF(AZ64&lt;&gt;"",IF(ISNA(VLOOKUP($N64,OFFSET(選手情報!$A$6:$BD$119,AZ64,0),56,FALSE)),"",VLOOKUP($N64,OFFSET(選手情報!$A$6:$BD$119,AZ64,0),56,FALSE)),"")</f>
        <v/>
      </c>
      <c r="BC64" s="127" t="str">
        <f ca="1">IF(BB64&lt;&gt;"",IF(ISNA(VLOOKUP($N64,OFFSET(選手情報!$A$6:$M$119,BB64,0),13,FALSE)),"","/"&amp;VLOOKUP($N64,OFFSET(選手情報!$A$6:$M$119,BB64,0),13,FALSE)),"")</f>
        <v/>
      </c>
      <c r="BD64" s="127" t="str">
        <f ca="1">IF(BB64&lt;&gt;"",IF(ISNA(VLOOKUP($N64,OFFSET(選手情報!$A$6:$BD$119,BB64,0),56,FALSE)),"",VLOOKUP($N64,OFFSET(選手情報!$A$6:$BD$119,BB64,0),56,FALSE)),"")</f>
        <v/>
      </c>
      <c r="BE64" s="127" t="str">
        <f ca="1">IF(BD64&lt;&gt;"",IF(ISNA(VLOOKUP($N64,OFFSET(選手情報!$A$6:$M$119,BD64,0),13,FALSE)),"","/"&amp;VLOOKUP($N64,OFFSET(選手情報!$A$6:$M$119,BD64,0),13,FALSE)),"")</f>
        <v/>
      </c>
      <c r="BF64" s="127" t="str">
        <f ca="1">IF(BD64&lt;&gt;"",IF(ISNA(VLOOKUP($N64,OFFSET(選手情報!$A$6:$BD$119,BD64,0),56,FALSE)),"",VLOOKUP($N64,OFFSET(選手情報!$A$6:$BD$119,BD64,0),56,FALSE)),"")</f>
        <v/>
      </c>
      <c r="BG64" s="127" t="str">
        <f ca="1">IF(BF64&lt;&gt;"",IF(ISNA(VLOOKUP($N64,OFFSET(選手情報!$A$6:$M$119,BF64,0),13,FALSE)),"","/"&amp;VLOOKUP($N64,OFFSET(選手情報!$A$6:$M$119,BF64,0),13,FALSE)),"")</f>
        <v/>
      </c>
      <c r="BH64" s="127" t="str">
        <f ca="1">IF(BF64&lt;&gt;"",IF(ISNA(VLOOKUP($N64,OFFSET(選手情報!$A$6:$BD$119,BF64,0),56,FALSE)),"",VLOOKUP($N64,OFFSET(選手情報!$A$6:$BD$119,BF64,0),56,FALSE)),"")</f>
        <v/>
      </c>
      <c r="BI64" s="127" t="str">
        <f ca="1">IF(BH64&lt;&gt;"",IF(ISNA(VLOOKUP($N64,OFFSET(選手情報!$A$6:$M$119,BH64,0),13,FALSE)),"","/"&amp;VLOOKUP($N64,OFFSET(選手情報!$A$6:$M$119,BH64,0),13,FALSE)),"")</f>
        <v/>
      </c>
    </row>
    <row r="65" spans="1:61" s="127" customFormat="1" ht="12.6" customHeight="1">
      <c r="A65" s="128" t="str">
        <f>IF(ISNA(VLOOKUP($C$2&amp;N65,選手データ!A:H,3,FALSE)),"",IF(M65&lt;&gt;M64,VLOOKUP($C$2&amp;N65,選手データ!A:H,3,FALSE),""))</f>
        <v/>
      </c>
      <c r="B65" s="129" t="str">
        <f>IF(A65&lt;&gt;"",VLOOKUP($C$2&amp;N65,選手データ!A:H,4,FALSE),"")</f>
        <v/>
      </c>
      <c r="C65" s="129" t="str">
        <f>IF(A65&lt;&gt;"",VLOOKUP($C$2&amp;N65,選手データ!A:H,5,FALSE),"")</f>
        <v/>
      </c>
      <c r="D65" s="129" t="str">
        <f>IF(A65&lt;&gt;"",VLOOKUP($C$2&amp;N65,選手データ!A:H,6,FALSE),"")</f>
        <v/>
      </c>
      <c r="E65" s="129" t="str">
        <f>IF(A65&lt;&gt;"",VLOOKUP($C$2&amp;N65,選手データ!A:H,7,FALSE),"")</f>
        <v/>
      </c>
      <c r="F65" s="130" t="str">
        <f>IF(A65&lt;&gt;"",VLOOKUP($C$2&amp;N65,選手データ!A:H,8,FALSE),"")</f>
        <v/>
      </c>
      <c r="G65" s="130" t="str">
        <f>IF(F65&lt;&gt;"",IF(DATEDIF(F65,設定!$B$12,"Y")&lt;20,"〇",""),"")</f>
        <v/>
      </c>
      <c r="H65" s="131" t="str">
        <f t="shared" ca="1" si="0"/>
        <v/>
      </c>
      <c r="I65" s="132" t="str">
        <f t="shared" ca="1" si="1"/>
        <v/>
      </c>
      <c r="J65" s="131" t="str">
        <f t="shared" ca="1" si="2"/>
        <v/>
      </c>
      <c r="K65" s="130" t="str">
        <f>IF(A65&lt;&gt;"",IF(COUNTIF(リレーチーム情報!$B$5:$B$10,A65&amp;E65)=1,"〇",""),"")</f>
        <v/>
      </c>
      <c r="L65" s="133" t="str">
        <f>IF(A65&lt;&gt;"",IF(COUNTIF(リレーチーム情報!$B$11:$B$16,A65&amp;E65)=1,"〇",""),"")</f>
        <v/>
      </c>
      <c r="M65" s="127">
        <f>IF(学校情報!$A$4&lt;&gt;"",0,IF(S64=0,MAX($M$37:M64)+1,M64))</f>
        <v>0</v>
      </c>
      <c r="N65" s="127" t="str">
        <f>IF(M65&lt;&gt;0,VLOOKUP(M65,選手情報!BF:BG,2,FALSE),"")</f>
        <v/>
      </c>
      <c r="O65" s="127" t="str">
        <f ca="1">IF(M65&lt;&gt;0,VLOOKUP(N65,OFFSET(選手情報!$A$6:$W$119,IF(M65&lt;&gt;M64,0,R64),0),13,FALSE),"")</f>
        <v/>
      </c>
      <c r="P65" s="127" t="str">
        <f ca="1">IF(M65&lt;&gt;0,VLOOKUP(N65,OFFSET(選手情報!$A$6:$W$119,IF(M65&lt;&gt;M64,0,R64),0),16,FALSE),"")</f>
        <v/>
      </c>
      <c r="Q65" s="127" t="str">
        <f ca="1">IF(M65&lt;&gt;0,VLOOKUP(N65,OFFSET(選手情報!$A$6:$W$119,IF(M65&lt;&gt;M64,0,R64),0),21,FALSE),"")</f>
        <v/>
      </c>
      <c r="R65" s="127">
        <f ca="1">IF(M65&lt;&gt;0,VLOOKUP(N65,OFFSET(選手情報!$A$6:$BD$119,IF(M65&lt;&gt;M64,0,R64),0),56,FALSE),0)</f>
        <v>0</v>
      </c>
      <c r="S65" s="127">
        <f ca="1">IF(M65&lt;&gt;0,IF(ISNA(R65),0,COUNTIF(OFFSET(選手情報!$A$6:$A$119,R65,0),N65)),0)</f>
        <v>0</v>
      </c>
      <c r="U65" s="127">
        <f t="shared" si="3"/>
        <v>0</v>
      </c>
      <c r="V65" s="127">
        <f t="shared" ca="1" si="4"/>
        <v>1</v>
      </c>
      <c r="W65" s="127">
        <f t="shared" ca="1" si="5"/>
        <v>0</v>
      </c>
      <c r="X65" s="127" t="str">
        <f t="shared" ca="1" si="6"/>
        <v/>
      </c>
      <c r="Y65" s="127" t="str">
        <f>IF($A65&lt;&gt;"",IF(ISNA(VLOOKUP($N65,選手情報!$A$6:$M$119,13,FALSE)),"","/"&amp;VLOOKUP($N65,選手情報!$A$6:$M$119,13,FALSE)),"")</f>
        <v/>
      </c>
      <c r="Z65" s="127" t="str">
        <f ca="1">IF(Y65&lt;&gt;"",IF(ISNA(VLOOKUP($N65,OFFSET(選手情報!$A$6:$BD$119,0,0),56,FALSE)),"",VLOOKUP($N65,OFFSET(選手情報!$A$6:$BD$119,0,0),56,FALSE)),"")</f>
        <v/>
      </c>
      <c r="AA65" s="127" t="str">
        <f ca="1">IF(Z65&lt;&gt;"",IF(ISNA(VLOOKUP($N65,OFFSET(選手情報!$A$6:$M$119,Z65,0),13,FALSE)),"","/"&amp;VLOOKUP($N65,OFFSET(選手情報!$A$6:$M$119,Z65,0),13,FALSE)),"")</f>
        <v/>
      </c>
      <c r="AB65" s="127" t="str">
        <f ca="1">IF(Z65&lt;&gt;"",IF(ISNA(VLOOKUP($N65,OFFSET(選手情報!$A$6:$BD$119,Z65,0),56,FALSE)),"",VLOOKUP($N65,OFFSET(選手情報!$A$6:$BD$119,Z65,0),56,FALSE)),"")</f>
        <v/>
      </c>
      <c r="AC65" s="127" t="str">
        <f ca="1">IF(AB65&lt;&gt;"",IF(ISNA(VLOOKUP($N65,OFFSET(選手情報!$A$6:$M$119,AB65,0),13,FALSE)),"","/"&amp;VLOOKUP($N65,OFFSET(選手情報!$A$6:$M$119,AB65,0),13,FALSE)),"")</f>
        <v/>
      </c>
      <c r="AD65" s="127" t="str">
        <f ca="1">IF(AB65&lt;&gt;"",IF(ISNA(VLOOKUP($N65,OFFSET(選手情報!$A$6:$BD$119,AB65,0),56,FALSE)),"",VLOOKUP($N65,OFFSET(選手情報!$A$6:$BD$119,AB65,0),56,FALSE)),"")</f>
        <v/>
      </c>
      <c r="AE65" s="127" t="str">
        <f ca="1">IF(AD65&lt;&gt;"",IF(ISNA(VLOOKUP($N65,OFFSET(選手情報!$A$6:$M$119,AD65,0),13,FALSE)),"","/"&amp;VLOOKUP($N65,OFFSET(選手情報!$A$6:$M$119,AD65,0),13,FALSE)),"")</f>
        <v/>
      </c>
      <c r="AF65" s="127" t="str">
        <f ca="1">IF(AD65&lt;&gt;"",IF(ISNA(VLOOKUP($N65,OFFSET(選手情報!$A$6:$BD$119,AD65,0),56,FALSE)),"",VLOOKUP($N65,OFFSET(選手情報!$A$6:$BD$119,AD65,0),56,FALSE)),"")</f>
        <v/>
      </c>
      <c r="AG65" s="127" t="str">
        <f ca="1">IF(AF65&lt;&gt;"",IF(ISNA(VLOOKUP($N65,OFFSET(選手情報!$A$6:$M$119,AF65,0),13,FALSE)),"","/"&amp;VLOOKUP($N65,OFFSET(選手情報!$A$6:$M$119,AF65,0),13,FALSE)),"")</f>
        <v/>
      </c>
      <c r="AH65" s="127" t="str">
        <f ca="1">IF(AF65&lt;&gt;"",IF(ISNA(VLOOKUP($N65,OFFSET(選手情報!$A$6:$BD$119,AF65,0),56,FALSE)),"",VLOOKUP($N65,OFFSET(選手情報!$A$6:$BD$119,AF65,0),56,FALSE)),"")</f>
        <v/>
      </c>
      <c r="AI65" s="127" t="str">
        <f ca="1">IF(AH65&lt;&gt;"",IF(ISNA(VLOOKUP($N65,OFFSET(選手情報!$A$6:$M$119,AH65,0),13,FALSE)),"","/"&amp;VLOOKUP($N65,OFFSET(選手情報!$A$6:$M$119,AH65,0),13,FALSE)),"")</f>
        <v/>
      </c>
      <c r="AJ65" s="127" t="str">
        <f ca="1">IF(AH65&lt;&gt;"",IF(ISNA(VLOOKUP($N65,OFFSET(選手情報!$A$6:$BD$119,AH65,0),56,FALSE)),"",VLOOKUP($N65,OFFSET(選手情報!$A$6:$BD$119,AH65,0),56,FALSE)),"")</f>
        <v/>
      </c>
      <c r="AK65" s="127" t="str">
        <f ca="1">IF(AJ65&lt;&gt;"",IF(ISNA(VLOOKUP($N65,OFFSET(選手情報!$A$6:$M$119,AJ65,0),13,FALSE)),"","/"&amp;VLOOKUP($N65,OFFSET(選手情報!$A$6:$M$119,AJ65,0),13,FALSE)),"")</f>
        <v/>
      </c>
      <c r="AL65" s="127" t="str">
        <f ca="1">IF(AJ65&lt;&gt;"",IF(ISNA(VLOOKUP($N65,OFFSET(選手情報!$A$6:$BD$119,AJ65,0),56,FALSE)),"",VLOOKUP($N65,OFFSET(選手情報!$A$6:$BD$119,AJ65,0),56,FALSE)),"")</f>
        <v/>
      </c>
      <c r="AM65" s="127" t="str">
        <f ca="1">IF(AL65&lt;&gt;"",IF(ISNA(VLOOKUP($N65,OFFSET(選手情報!$A$6:$M$119,AL65,0),13,FALSE)),"","/"&amp;VLOOKUP($N65,OFFSET(選手情報!$A$6:$M$119,AL65,0),13,FALSE)),"")</f>
        <v/>
      </c>
      <c r="AN65" s="127" t="str">
        <f ca="1">IF(AL65&lt;&gt;"",IF(ISNA(VLOOKUP($N65,OFFSET(選手情報!$A$6:$BD$119,AL65,0),56,FALSE)),"",VLOOKUP($N65,OFFSET(選手情報!$A$6:$BD$119,AL65,0),56,FALSE)),"")</f>
        <v/>
      </c>
      <c r="AO65" s="127" t="str">
        <f ca="1">IF(AN65&lt;&gt;"",IF(ISNA(VLOOKUP($N65,OFFSET(選手情報!$A$6:$M$119,AN65,0),13,FALSE)),"","/"&amp;VLOOKUP($N65,OFFSET(選手情報!$A$6:$M$119,AN65,0),13,FALSE)),"")</f>
        <v/>
      </c>
      <c r="AP65" s="127" t="str">
        <f ca="1">IF(AN65&lt;&gt;"",IF(ISNA(VLOOKUP($N65,OFFSET(選手情報!$A$6:$BD$119,AN65,0),56,FALSE)),"",VLOOKUP($N65,OFFSET(選手情報!$A$6:$BD$119,AN65,0),56,FALSE)),"")</f>
        <v/>
      </c>
      <c r="AQ65" s="127" t="str">
        <f ca="1">IF(AP65&lt;&gt;"",IF(ISNA(VLOOKUP($N65,OFFSET(選手情報!$A$6:$M$119,AP65,0),13,FALSE)),"","/"&amp;VLOOKUP($N65,OFFSET(選手情報!$A$6:$M$119,AP65,0),13,FALSE)),"")</f>
        <v/>
      </c>
      <c r="AR65" s="127" t="str">
        <f ca="1">IF(AP65&lt;&gt;"",IF(ISNA(VLOOKUP($N65,OFFSET(選手情報!$A$6:$BD$119,AP65,0),56,FALSE)),"",VLOOKUP($N65,OFFSET(選手情報!$A$6:$BD$119,AP65,0),56,FALSE)),"")</f>
        <v/>
      </c>
      <c r="AS65" s="127" t="str">
        <f ca="1">IF(AR65&lt;&gt;"",IF(ISNA(VLOOKUP($N65,OFFSET(選手情報!$A$6:$M$119,AR65,0),13,FALSE)),"","/"&amp;VLOOKUP($N65,OFFSET(選手情報!$A$6:$M$119,AR65,0),13,FALSE)),"")</f>
        <v/>
      </c>
      <c r="AT65" s="127" t="str">
        <f ca="1">IF(AR65&lt;&gt;"",IF(ISNA(VLOOKUP($N65,OFFSET(選手情報!$A$6:$BD$119,AR65,0),56,FALSE)),"",VLOOKUP($N65,OFFSET(選手情報!$A$6:$BD$119,AR65,0),56,FALSE)),"")</f>
        <v/>
      </c>
      <c r="AU65" s="127" t="str">
        <f ca="1">IF(AT65&lt;&gt;"",IF(ISNA(VLOOKUP($N65,OFFSET(選手情報!$A$6:$M$119,AT65,0),13,FALSE)),"","/"&amp;VLOOKUP($N65,OFFSET(選手情報!$A$6:$M$119,AT65,0),13,FALSE)),"")</f>
        <v/>
      </c>
      <c r="AV65" s="127" t="str">
        <f ca="1">IF(AT65&lt;&gt;"",IF(ISNA(VLOOKUP($N65,OFFSET(選手情報!$A$6:$BD$119,AT65,0),56,FALSE)),"",VLOOKUP($N65,OFFSET(選手情報!$A$6:$BD$119,AT65,0),56,FALSE)),"")</f>
        <v/>
      </c>
      <c r="AW65" s="127" t="str">
        <f ca="1">IF(AV65&lt;&gt;"",IF(ISNA(VLOOKUP($N65,OFFSET(選手情報!$A$6:$M$119,AV65,0),13,FALSE)),"","/"&amp;VLOOKUP($N65,OFFSET(選手情報!$A$6:$M$119,AV65,0),13,FALSE)),"")</f>
        <v/>
      </c>
      <c r="AX65" s="127" t="str">
        <f ca="1">IF(AV65&lt;&gt;"",IF(ISNA(VLOOKUP($N65,OFFSET(選手情報!$A$6:$BD$119,AV65,0),56,FALSE)),"",VLOOKUP($N65,OFFSET(選手情報!$A$6:$BD$119,AV65,0),56,FALSE)),"")</f>
        <v/>
      </c>
      <c r="AY65" s="127" t="str">
        <f ca="1">IF(AX65&lt;&gt;"",IF(ISNA(VLOOKUP($N65,OFFSET(選手情報!$A$6:$M$119,AX65,0),13,FALSE)),"","/"&amp;VLOOKUP($N65,OFFSET(選手情報!$A$6:$M$119,AX65,0),13,FALSE)),"")</f>
        <v/>
      </c>
      <c r="AZ65" s="127" t="str">
        <f ca="1">IF(AX65&lt;&gt;"",IF(ISNA(VLOOKUP($N65,OFFSET(選手情報!$A$6:$BD$119,AX65,0),56,FALSE)),"",VLOOKUP($N65,OFFSET(選手情報!$A$6:$BD$119,AX65,0),56,FALSE)),"")</f>
        <v/>
      </c>
      <c r="BA65" s="127" t="str">
        <f ca="1">IF(AZ65&lt;&gt;"",IF(ISNA(VLOOKUP($N65,OFFSET(選手情報!$A$6:$M$119,AZ65,0),13,FALSE)),"","/"&amp;VLOOKUP($N65,OFFSET(選手情報!$A$6:$M$119,AZ65,0),13,FALSE)),"")</f>
        <v/>
      </c>
      <c r="BB65" s="127" t="str">
        <f ca="1">IF(AZ65&lt;&gt;"",IF(ISNA(VLOOKUP($N65,OFFSET(選手情報!$A$6:$BD$119,AZ65,0),56,FALSE)),"",VLOOKUP($N65,OFFSET(選手情報!$A$6:$BD$119,AZ65,0),56,FALSE)),"")</f>
        <v/>
      </c>
      <c r="BC65" s="127" t="str">
        <f ca="1">IF(BB65&lt;&gt;"",IF(ISNA(VLOOKUP($N65,OFFSET(選手情報!$A$6:$M$119,BB65,0),13,FALSE)),"","/"&amp;VLOOKUP($N65,OFFSET(選手情報!$A$6:$M$119,BB65,0),13,FALSE)),"")</f>
        <v/>
      </c>
      <c r="BD65" s="127" t="str">
        <f ca="1">IF(BB65&lt;&gt;"",IF(ISNA(VLOOKUP($N65,OFFSET(選手情報!$A$6:$BD$119,BB65,0),56,FALSE)),"",VLOOKUP($N65,OFFSET(選手情報!$A$6:$BD$119,BB65,0),56,FALSE)),"")</f>
        <v/>
      </c>
      <c r="BE65" s="127" t="str">
        <f ca="1">IF(BD65&lt;&gt;"",IF(ISNA(VLOOKUP($N65,OFFSET(選手情報!$A$6:$M$119,BD65,0),13,FALSE)),"","/"&amp;VLOOKUP($N65,OFFSET(選手情報!$A$6:$M$119,BD65,0),13,FALSE)),"")</f>
        <v/>
      </c>
      <c r="BF65" s="127" t="str">
        <f ca="1">IF(BD65&lt;&gt;"",IF(ISNA(VLOOKUP($N65,OFFSET(選手情報!$A$6:$BD$119,BD65,0),56,FALSE)),"",VLOOKUP($N65,OFFSET(選手情報!$A$6:$BD$119,BD65,0),56,FALSE)),"")</f>
        <v/>
      </c>
      <c r="BG65" s="127" t="str">
        <f ca="1">IF(BF65&lt;&gt;"",IF(ISNA(VLOOKUP($N65,OFFSET(選手情報!$A$6:$M$119,BF65,0),13,FALSE)),"","/"&amp;VLOOKUP($N65,OFFSET(選手情報!$A$6:$M$119,BF65,0),13,FALSE)),"")</f>
        <v/>
      </c>
      <c r="BH65" s="127" t="str">
        <f ca="1">IF(BF65&lt;&gt;"",IF(ISNA(VLOOKUP($N65,OFFSET(選手情報!$A$6:$BD$119,BF65,0),56,FALSE)),"",VLOOKUP($N65,OFFSET(選手情報!$A$6:$BD$119,BF65,0),56,FALSE)),"")</f>
        <v/>
      </c>
      <c r="BI65" s="127" t="str">
        <f ca="1">IF(BH65&lt;&gt;"",IF(ISNA(VLOOKUP($N65,OFFSET(選手情報!$A$6:$M$119,BH65,0),13,FALSE)),"","/"&amp;VLOOKUP($N65,OFFSET(選手情報!$A$6:$M$119,BH65,0),13,FALSE)),"")</f>
        <v/>
      </c>
    </row>
    <row r="66" spans="1:61" s="127" customFormat="1" ht="12.6" customHeight="1">
      <c r="A66" s="128" t="str">
        <f>IF(ISNA(VLOOKUP($C$2&amp;N66,選手データ!A:H,3,FALSE)),"",IF(M66&lt;&gt;M65,VLOOKUP($C$2&amp;N66,選手データ!A:H,3,FALSE),""))</f>
        <v/>
      </c>
      <c r="B66" s="129" t="str">
        <f>IF(A66&lt;&gt;"",VLOOKUP($C$2&amp;N66,選手データ!A:H,4,FALSE),"")</f>
        <v/>
      </c>
      <c r="C66" s="129" t="str">
        <f>IF(A66&lt;&gt;"",VLOOKUP($C$2&amp;N66,選手データ!A:H,5,FALSE),"")</f>
        <v/>
      </c>
      <c r="D66" s="129" t="str">
        <f>IF(A66&lt;&gt;"",VLOOKUP($C$2&amp;N66,選手データ!A:H,6,FALSE),"")</f>
        <v/>
      </c>
      <c r="E66" s="129" t="str">
        <f>IF(A66&lt;&gt;"",VLOOKUP($C$2&amp;N66,選手データ!A:H,7,FALSE),"")</f>
        <v/>
      </c>
      <c r="F66" s="130" t="str">
        <f>IF(A66&lt;&gt;"",VLOOKUP($C$2&amp;N66,選手データ!A:H,8,FALSE),"")</f>
        <v/>
      </c>
      <c r="G66" s="130" t="str">
        <f>IF(F66&lt;&gt;"",IF(DATEDIF(F66,設定!$B$12,"Y")&lt;20,"〇",""),"")</f>
        <v/>
      </c>
      <c r="H66" s="131" t="str">
        <f t="shared" ca="1" si="0"/>
        <v/>
      </c>
      <c r="I66" s="132" t="str">
        <f t="shared" ca="1" si="1"/>
        <v/>
      </c>
      <c r="J66" s="131" t="str">
        <f t="shared" ca="1" si="2"/>
        <v/>
      </c>
      <c r="K66" s="130" t="str">
        <f>IF(A66&lt;&gt;"",IF(COUNTIF(リレーチーム情報!$B$5:$B$10,A66&amp;E66)=1,"〇",""),"")</f>
        <v/>
      </c>
      <c r="L66" s="133" t="str">
        <f>IF(A66&lt;&gt;"",IF(COUNTIF(リレーチーム情報!$B$11:$B$16,A66&amp;E66)=1,"〇",""),"")</f>
        <v/>
      </c>
      <c r="M66" s="127">
        <f>IF(学校情報!$A$4&lt;&gt;"",0,IF(S65=0,MAX($M$37:M65)+1,M65))</f>
        <v>0</v>
      </c>
      <c r="N66" s="127" t="str">
        <f>IF(M66&lt;&gt;0,VLOOKUP(M66,選手情報!BF:BG,2,FALSE),"")</f>
        <v/>
      </c>
      <c r="O66" s="127" t="str">
        <f ca="1">IF(M66&lt;&gt;0,VLOOKUP(N66,OFFSET(選手情報!$A$6:$W$119,IF(M66&lt;&gt;M65,0,R65),0),13,FALSE),"")</f>
        <v/>
      </c>
      <c r="P66" s="127" t="str">
        <f ca="1">IF(M66&lt;&gt;0,VLOOKUP(N66,OFFSET(選手情報!$A$6:$W$119,IF(M66&lt;&gt;M65,0,R65),0),16,FALSE),"")</f>
        <v/>
      </c>
      <c r="Q66" s="127" t="str">
        <f ca="1">IF(M66&lt;&gt;0,VLOOKUP(N66,OFFSET(選手情報!$A$6:$W$119,IF(M66&lt;&gt;M65,0,R65),0),21,FALSE),"")</f>
        <v/>
      </c>
      <c r="R66" s="127">
        <f ca="1">IF(M66&lt;&gt;0,VLOOKUP(N66,OFFSET(選手情報!$A$6:$BD$119,IF(M66&lt;&gt;M65,0,R65),0),56,FALSE),0)</f>
        <v>0</v>
      </c>
      <c r="S66" s="127">
        <f ca="1">IF(M66&lt;&gt;0,IF(ISNA(R66),0,COUNTIF(OFFSET(選手情報!$A$6:$A$119,R66,0),N66)),0)</f>
        <v>0</v>
      </c>
      <c r="U66" s="127">
        <f t="shared" si="3"/>
        <v>0</v>
      </c>
      <c r="V66" s="127">
        <f t="shared" ca="1" si="4"/>
        <v>1</v>
      </c>
      <c r="W66" s="127">
        <f t="shared" ca="1" si="5"/>
        <v>0</v>
      </c>
      <c r="X66" s="127" t="str">
        <f t="shared" ca="1" si="6"/>
        <v/>
      </c>
      <c r="Y66" s="127" t="str">
        <f>IF($A66&lt;&gt;"",IF(ISNA(VLOOKUP($N66,選手情報!$A$6:$M$119,13,FALSE)),"","/"&amp;VLOOKUP($N66,選手情報!$A$6:$M$119,13,FALSE)),"")</f>
        <v/>
      </c>
      <c r="Z66" s="127" t="str">
        <f ca="1">IF(Y66&lt;&gt;"",IF(ISNA(VLOOKUP($N66,OFFSET(選手情報!$A$6:$BD$119,0,0),56,FALSE)),"",VLOOKUP($N66,OFFSET(選手情報!$A$6:$BD$119,0,0),56,FALSE)),"")</f>
        <v/>
      </c>
      <c r="AA66" s="127" t="str">
        <f ca="1">IF(Z66&lt;&gt;"",IF(ISNA(VLOOKUP($N66,OFFSET(選手情報!$A$6:$M$119,Z66,0),13,FALSE)),"","/"&amp;VLOOKUP($N66,OFFSET(選手情報!$A$6:$M$119,Z66,0),13,FALSE)),"")</f>
        <v/>
      </c>
      <c r="AB66" s="127" t="str">
        <f ca="1">IF(Z66&lt;&gt;"",IF(ISNA(VLOOKUP($N66,OFFSET(選手情報!$A$6:$BD$119,Z66,0),56,FALSE)),"",VLOOKUP($N66,OFFSET(選手情報!$A$6:$BD$119,Z66,0),56,FALSE)),"")</f>
        <v/>
      </c>
      <c r="AC66" s="127" t="str">
        <f ca="1">IF(AB66&lt;&gt;"",IF(ISNA(VLOOKUP($N66,OFFSET(選手情報!$A$6:$M$119,AB66,0),13,FALSE)),"","/"&amp;VLOOKUP($N66,OFFSET(選手情報!$A$6:$M$119,AB66,0),13,FALSE)),"")</f>
        <v/>
      </c>
      <c r="AD66" s="127" t="str">
        <f ca="1">IF(AB66&lt;&gt;"",IF(ISNA(VLOOKUP($N66,OFFSET(選手情報!$A$6:$BD$119,AB66,0),56,FALSE)),"",VLOOKUP($N66,OFFSET(選手情報!$A$6:$BD$119,AB66,0),56,FALSE)),"")</f>
        <v/>
      </c>
      <c r="AE66" s="127" t="str">
        <f ca="1">IF(AD66&lt;&gt;"",IF(ISNA(VLOOKUP($N66,OFFSET(選手情報!$A$6:$M$119,AD66,0),13,FALSE)),"","/"&amp;VLOOKUP($N66,OFFSET(選手情報!$A$6:$M$119,AD66,0),13,FALSE)),"")</f>
        <v/>
      </c>
      <c r="AF66" s="127" t="str">
        <f ca="1">IF(AD66&lt;&gt;"",IF(ISNA(VLOOKUP($N66,OFFSET(選手情報!$A$6:$BD$119,AD66,0),56,FALSE)),"",VLOOKUP($N66,OFFSET(選手情報!$A$6:$BD$119,AD66,0),56,FALSE)),"")</f>
        <v/>
      </c>
      <c r="AG66" s="127" t="str">
        <f ca="1">IF(AF66&lt;&gt;"",IF(ISNA(VLOOKUP($N66,OFFSET(選手情報!$A$6:$M$119,AF66,0),13,FALSE)),"","/"&amp;VLOOKUP($N66,OFFSET(選手情報!$A$6:$M$119,AF66,0),13,FALSE)),"")</f>
        <v/>
      </c>
      <c r="AH66" s="127" t="str">
        <f ca="1">IF(AF66&lt;&gt;"",IF(ISNA(VLOOKUP($N66,OFFSET(選手情報!$A$6:$BD$119,AF66,0),56,FALSE)),"",VLOOKUP($N66,OFFSET(選手情報!$A$6:$BD$119,AF66,0),56,FALSE)),"")</f>
        <v/>
      </c>
      <c r="AI66" s="127" t="str">
        <f ca="1">IF(AH66&lt;&gt;"",IF(ISNA(VLOOKUP($N66,OFFSET(選手情報!$A$6:$M$119,AH66,0),13,FALSE)),"","/"&amp;VLOOKUP($N66,OFFSET(選手情報!$A$6:$M$119,AH66,0),13,FALSE)),"")</f>
        <v/>
      </c>
      <c r="AJ66" s="127" t="str">
        <f ca="1">IF(AH66&lt;&gt;"",IF(ISNA(VLOOKUP($N66,OFFSET(選手情報!$A$6:$BD$119,AH66,0),56,FALSE)),"",VLOOKUP($N66,OFFSET(選手情報!$A$6:$BD$119,AH66,0),56,FALSE)),"")</f>
        <v/>
      </c>
      <c r="AK66" s="127" t="str">
        <f ca="1">IF(AJ66&lt;&gt;"",IF(ISNA(VLOOKUP($N66,OFFSET(選手情報!$A$6:$M$119,AJ66,0),13,FALSE)),"","/"&amp;VLOOKUP($N66,OFFSET(選手情報!$A$6:$M$119,AJ66,0),13,FALSE)),"")</f>
        <v/>
      </c>
      <c r="AL66" s="127" t="str">
        <f ca="1">IF(AJ66&lt;&gt;"",IF(ISNA(VLOOKUP($N66,OFFSET(選手情報!$A$6:$BD$119,AJ66,0),56,FALSE)),"",VLOOKUP($N66,OFFSET(選手情報!$A$6:$BD$119,AJ66,0),56,FALSE)),"")</f>
        <v/>
      </c>
      <c r="AM66" s="127" t="str">
        <f ca="1">IF(AL66&lt;&gt;"",IF(ISNA(VLOOKUP($N66,OFFSET(選手情報!$A$6:$M$119,AL66,0),13,FALSE)),"","/"&amp;VLOOKUP($N66,OFFSET(選手情報!$A$6:$M$119,AL66,0),13,FALSE)),"")</f>
        <v/>
      </c>
      <c r="AN66" s="127" t="str">
        <f ca="1">IF(AL66&lt;&gt;"",IF(ISNA(VLOOKUP($N66,OFFSET(選手情報!$A$6:$BD$119,AL66,0),56,FALSE)),"",VLOOKUP($N66,OFFSET(選手情報!$A$6:$BD$119,AL66,0),56,FALSE)),"")</f>
        <v/>
      </c>
      <c r="AO66" s="127" t="str">
        <f ca="1">IF(AN66&lt;&gt;"",IF(ISNA(VLOOKUP($N66,OFFSET(選手情報!$A$6:$M$119,AN66,0),13,FALSE)),"","/"&amp;VLOOKUP($N66,OFFSET(選手情報!$A$6:$M$119,AN66,0),13,FALSE)),"")</f>
        <v/>
      </c>
      <c r="AP66" s="127" t="str">
        <f ca="1">IF(AN66&lt;&gt;"",IF(ISNA(VLOOKUP($N66,OFFSET(選手情報!$A$6:$BD$119,AN66,0),56,FALSE)),"",VLOOKUP($N66,OFFSET(選手情報!$A$6:$BD$119,AN66,0),56,FALSE)),"")</f>
        <v/>
      </c>
      <c r="AQ66" s="127" t="str">
        <f ca="1">IF(AP66&lt;&gt;"",IF(ISNA(VLOOKUP($N66,OFFSET(選手情報!$A$6:$M$119,AP66,0),13,FALSE)),"","/"&amp;VLOOKUP($N66,OFFSET(選手情報!$A$6:$M$119,AP66,0),13,FALSE)),"")</f>
        <v/>
      </c>
      <c r="AR66" s="127" t="str">
        <f ca="1">IF(AP66&lt;&gt;"",IF(ISNA(VLOOKUP($N66,OFFSET(選手情報!$A$6:$BD$119,AP66,0),56,FALSE)),"",VLOOKUP($N66,OFFSET(選手情報!$A$6:$BD$119,AP66,0),56,FALSE)),"")</f>
        <v/>
      </c>
      <c r="AS66" s="127" t="str">
        <f ca="1">IF(AR66&lt;&gt;"",IF(ISNA(VLOOKUP($N66,OFFSET(選手情報!$A$6:$M$119,AR66,0),13,FALSE)),"","/"&amp;VLOOKUP($N66,OFFSET(選手情報!$A$6:$M$119,AR66,0),13,FALSE)),"")</f>
        <v/>
      </c>
      <c r="AT66" s="127" t="str">
        <f ca="1">IF(AR66&lt;&gt;"",IF(ISNA(VLOOKUP($N66,OFFSET(選手情報!$A$6:$BD$119,AR66,0),56,FALSE)),"",VLOOKUP($N66,OFFSET(選手情報!$A$6:$BD$119,AR66,0),56,FALSE)),"")</f>
        <v/>
      </c>
      <c r="AU66" s="127" t="str">
        <f ca="1">IF(AT66&lt;&gt;"",IF(ISNA(VLOOKUP($N66,OFFSET(選手情報!$A$6:$M$119,AT66,0),13,FALSE)),"","/"&amp;VLOOKUP($N66,OFFSET(選手情報!$A$6:$M$119,AT66,0),13,FALSE)),"")</f>
        <v/>
      </c>
      <c r="AV66" s="127" t="str">
        <f ca="1">IF(AT66&lt;&gt;"",IF(ISNA(VLOOKUP($N66,OFFSET(選手情報!$A$6:$BD$119,AT66,0),56,FALSE)),"",VLOOKUP($N66,OFFSET(選手情報!$A$6:$BD$119,AT66,0),56,FALSE)),"")</f>
        <v/>
      </c>
      <c r="AW66" s="127" t="str">
        <f ca="1">IF(AV66&lt;&gt;"",IF(ISNA(VLOOKUP($N66,OFFSET(選手情報!$A$6:$M$119,AV66,0),13,FALSE)),"","/"&amp;VLOOKUP($N66,OFFSET(選手情報!$A$6:$M$119,AV66,0),13,FALSE)),"")</f>
        <v/>
      </c>
      <c r="AX66" s="127" t="str">
        <f ca="1">IF(AV66&lt;&gt;"",IF(ISNA(VLOOKUP($N66,OFFSET(選手情報!$A$6:$BD$119,AV66,0),56,FALSE)),"",VLOOKUP($N66,OFFSET(選手情報!$A$6:$BD$119,AV66,0),56,FALSE)),"")</f>
        <v/>
      </c>
      <c r="AY66" s="127" t="str">
        <f ca="1">IF(AX66&lt;&gt;"",IF(ISNA(VLOOKUP($N66,OFFSET(選手情報!$A$6:$M$119,AX66,0),13,FALSE)),"","/"&amp;VLOOKUP($N66,OFFSET(選手情報!$A$6:$M$119,AX66,0),13,FALSE)),"")</f>
        <v/>
      </c>
      <c r="AZ66" s="127" t="str">
        <f ca="1">IF(AX66&lt;&gt;"",IF(ISNA(VLOOKUP($N66,OFFSET(選手情報!$A$6:$BD$119,AX66,0),56,FALSE)),"",VLOOKUP($N66,OFFSET(選手情報!$A$6:$BD$119,AX66,0),56,FALSE)),"")</f>
        <v/>
      </c>
      <c r="BA66" s="127" t="str">
        <f ca="1">IF(AZ66&lt;&gt;"",IF(ISNA(VLOOKUP($N66,OFFSET(選手情報!$A$6:$M$119,AZ66,0),13,FALSE)),"","/"&amp;VLOOKUP($N66,OFFSET(選手情報!$A$6:$M$119,AZ66,0),13,FALSE)),"")</f>
        <v/>
      </c>
      <c r="BB66" s="127" t="str">
        <f ca="1">IF(AZ66&lt;&gt;"",IF(ISNA(VLOOKUP($N66,OFFSET(選手情報!$A$6:$BD$119,AZ66,0),56,FALSE)),"",VLOOKUP($N66,OFFSET(選手情報!$A$6:$BD$119,AZ66,0),56,FALSE)),"")</f>
        <v/>
      </c>
      <c r="BC66" s="127" t="str">
        <f ca="1">IF(BB66&lt;&gt;"",IF(ISNA(VLOOKUP($N66,OFFSET(選手情報!$A$6:$M$119,BB66,0),13,FALSE)),"","/"&amp;VLOOKUP($N66,OFFSET(選手情報!$A$6:$M$119,BB66,0),13,FALSE)),"")</f>
        <v/>
      </c>
      <c r="BD66" s="127" t="str">
        <f ca="1">IF(BB66&lt;&gt;"",IF(ISNA(VLOOKUP($N66,OFFSET(選手情報!$A$6:$BD$119,BB66,0),56,FALSE)),"",VLOOKUP($N66,OFFSET(選手情報!$A$6:$BD$119,BB66,0),56,FALSE)),"")</f>
        <v/>
      </c>
      <c r="BE66" s="127" t="str">
        <f ca="1">IF(BD66&lt;&gt;"",IF(ISNA(VLOOKUP($N66,OFFSET(選手情報!$A$6:$M$119,BD66,0),13,FALSE)),"","/"&amp;VLOOKUP($N66,OFFSET(選手情報!$A$6:$M$119,BD66,0),13,FALSE)),"")</f>
        <v/>
      </c>
      <c r="BF66" s="127" t="str">
        <f ca="1">IF(BD66&lt;&gt;"",IF(ISNA(VLOOKUP($N66,OFFSET(選手情報!$A$6:$BD$119,BD66,0),56,FALSE)),"",VLOOKUP($N66,OFFSET(選手情報!$A$6:$BD$119,BD66,0),56,FALSE)),"")</f>
        <v/>
      </c>
      <c r="BG66" s="127" t="str">
        <f ca="1">IF(BF66&lt;&gt;"",IF(ISNA(VLOOKUP($N66,OFFSET(選手情報!$A$6:$M$119,BF66,0),13,FALSE)),"","/"&amp;VLOOKUP($N66,OFFSET(選手情報!$A$6:$M$119,BF66,0),13,FALSE)),"")</f>
        <v/>
      </c>
      <c r="BH66" s="127" t="str">
        <f ca="1">IF(BF66&lt;&gt;"",IF(ISNA(VLOOKUP($N66,OFFSET(選手情報!$A$6:$BD$119,BF66,0),56,FALSE)),"",VLOOKUP($N66,OFFSET(選手情報!$A$6:$BD$119,BF66,0),56,FALSE)),"")</f>
        <v/>
      </c>
      <c r="BI66" s="127" t="str">
        <f ca="1">IF(BH66&lt;&gt;"",IF(ISNA(VLOOKUP($N66,OFFSET(選手情報!$A$6:$M$119,BH66,0),13,FALSE)),"","/"&amp;VLOOKUP($N66,OFFSET(選手情報!$A$6:$M$119,BH66,0),13,FALSE)),"")</f>
        <v/>
      </c>
    </row>
    <row r="67" spans="1:61" s="127" customFormat="1" ht="12.6" customHeight="1">
      <c r="A67" s="128" t="str">
        <f>IF(ISNA(VLOOKUP($C$2&amp;N67,選手データ!A:H,3,FALSE)),"",IF(M67&lt;&gt;M66,VLOOKUP($C$2&amp;N67,選手データ!A:H,3,FALSE),""))</f>
        <v/>
      </c>
      <c r="B67" s="129" t="str">
        <f>IF(A67&lt;&gt;"",VLOOKUP($C$2&amp;N67,選手データ!A:H,4,FALSE),"")</f>
        <v/>
      </c>
      <c r="C67" s="129" t="str">
        <f>IF(A67&lt;&gt;"",VLOOKUP($C$2&amp;N67,選手データ!A:H,5,FALSE),"")</f>
        <v/>
      </c>
      <c r="D67" s="129" t="str">
        <f>IF(A67&lt;&gt;"",VLOOKUP($C$2&amp;N67,選手データ!A:H,6,FALSE),"")</f>
        <v/>
      </c>
      <c r="E67" s="129" t="str">
        <f>IF(A67&lt;&gt;"",VLOOKUP($C$2&amp;N67,選手データ!A:H,7,FALSE),"")</f>
        <v/>
      </c>
      <c r="F67" s="130" t="str">
        <f>IF(A67&lt;&gt;"",VLOOKUP($C$2&amp;N67,選手データ!A:H,8,FALSE),"")</f>
        <v/>
      </c>
      <c r="G67" s="130" t="str">
        <f>IF(F67&lt;&gt;"",IF(DATEDIF(F67,設定!$B$12,"Y")&lt;20,"〇",""),"")</f>
        <v/>
      </c>
      <c r="H67" s="131" t="str">
        <f t="shared" ca="1" si="0"/>
        <v/>
      </c>
      <c r="I67" s="132" t="str">
        <f t="shared" ca="1" si="1"/>
        <v/>
      </c>
      <c r="J67" s="131" t="str">
        <f t="shared" ca="1" si="2"/>
        <v/>
      </c>
      <c r="K67" s="130" t="str">
        <f>IF(A67&lt;&gt;"",IF(COUNTIF(リレーチーム情報!$B$5:$B$10,A67&amp;E67)=1,"〇",""),"")</f>
        <v/>
      </c>
      <c r="L67" s="133" t="str">
        <f>IF(A67&lt;&gt;"",IF(COUNTIF(リレーチーム情報!$B$11:$B$16,A67&amp;E67)=1,"〇",""),"")</f>
        <v/>
      </c>
      <c r="M67" s="127">
        <f>IF(学校情報!$A$4&lt;&gt;"",0,IF(S66=0,MAX($M$37:M66)+1,M66))</f>
        <v>0</v>
      </c>
      <c r="N67" s="127" t="str">
        <f>IF(M67&lt;&gt;0,VLOOKUP(M67,選手情報!BF:BG,2,FALSE),"")</f>
        <v/>
      </c>
      <c r="O67" s="127" t="str">
        <f ca="1">IF(M67&lt;&gt;0,VLOOKUP(N67,OFFSET(選手情報!$A$6:$W$119,IF(M67&lt;&gt;M66,0,R66),0),13,FALSE),"")</f>
        <v/>
      </c>
      <c r="P67" s="127" t="str">
        <f ca="1">IF(M67&lt;&gt;0,VLOOKUP(N67,OFFSET(選手情報!$A$6:$W$119,IF(M67&lt;&gt;M66,0,R66),0),16,FALSE),"")</f>
        <v/>
      </c>
      <c r="Q67" s="127" t="str">
        <f ca="1">IF(M67&lt;&gt;0,VLOOKUP(N67,OFFSET(選手情報!$A$6:$W$119,IF(M67&lt;&gt;M66,0,R66),0),21,FALSE),"")</f>
        <v/>
      </c>
      <c r="R67" s="127">
        <f ca="1">IF(M67&lt;&gt;0,VLOOKUP(N67,OFFSET(選手情報!$A$6:$BD$119,IF(M67&lt;&gt;M66,0,R66),0),56,FALSE),0)</f>
        <v>0</v>
      </c>
      <c r="S67" s="127">
        <f ca="1">IF(M67&lt;&gt;0,IF(ISNA(R67),0,COUNTIF(OFFSET(選手情報!$A$6:$A$119,R67,0),N67)),0)</f>
        <v>0</v>
      </c>
      <c r="U67" s="127">
        <f t="shared" si="3"/>
        <v>0</v>
      </c>
      <c r="V67" s="127">
        <f t="shared" ca="1" si="4"/>
        <v>1</v>
      </c>
      <c r="W67" s="127">
        <f t="shared" ca="1" si="5"/>
        <v>0</v>
      </c>
      <c r="X67" s="127" t="str">
        <f t="shared" ca="1" si="6"/>
        <v/>
      </c>
      <c r="Y67" s="127" t="str">
        <f>IF($A67&lt;&gt;"",IF(ISNA(VLOOKUP($N67,選手情報!$A$6:$M$119,13,FALSE)),"","/"&amp;VLOOKUP($N67,選手情報!$A$6:$M$119,13,FALSE)),"")</f>
        <v/>
      </c>
      <c r="Z67" s="127" t="str">
        <f ca="1">IF(Y67&lt;&gt;"",IF(ISNA(VLOOKUP($N67,OFFSET(選手情報!$A$6:$BD$119,0,0),56,FALSE)),"",VLOOKUP($N67,OFFSET(選手情報!$A$6:$BD$119,0,0),56,FALSE)),"")</f>
        <v/>
      </c>
      <c r="AA67" s="127" t="str">
        <f ca="1">IF(Z67&lt;&gt;"",IF(ISNA(VLOOKUP($N67,OFFSET(選手情報!$A$6:$M$119,Z67,0),13,FALSE)),"","/"&amp;VLOOKUP($N67,OFFSET(選手情報!$A$6:$M$119,Z67,0),13,FALSE)),"")</f>
        <v/>
      </c>
      <c r="AB67" s="127" t="str">
        <f ca="1">IF(Z67&lt;&gt;"",IF(ISNA(VLOOKUP($N67,OFFSET(選手情報!$A$6:$BD$119,Z67,0),56,FALSE)),"",VLOOKUP($N67,OFFSET(選手情報!$A$6:$BD$119,Z67,0),56,FALSE)),"")</f>
        <v/>
      </c>
      <c r="AC67" s="127" t="str">
        <f ca="1">IF(AB67&lt;&gt;"",IF(ISNA(VLOOKUP($N67,OFFSET(選手情報!$A$6:$M$119,AB67,0),13,FALSE)),"","/"&amp;VLOOKUP($N67,OFFSET(選手情報!$A$6:$M$119,AB67,0),13,FALSE)),"")</f>
        <v/>
      </c>
      <c r="AD67" s="127" t="str">
        <f ca="1">IF(AB67&lt;&gt;"",IF(ISNA(VLOOKUP($N67,OFFSET(選手情報!$A$6:$BD$119,AB67,0),56,FALSE)),"",VLOOKUP($N67,OFFSET(選手情報!$A$6:$BD$119,AB67,0),56,FALSE)),"")</f>
        <v/>
      </c>
      <c r="AE67" s="127" t="str">
        <f ca="1">IF(AD67&lt;&gt;"",IF(ISNA(VLOOKUP($N67,OFFSET(選手情報!$A$6:$M$119,AD67,0),13,FALSE)),"","/"&amp;VLOOKUP($N67,OFFSET(選手情報!$A$6:$M$119,AD67,0),13,FALSE)),"")</f>
        <v/>
      </c>
      <c r="AF67" s="127" t="str">
        <f ca="1">IF(AD67&lt;&gt;"",IF(ISNA(VLOOKUP($N67,OFFSET(選手情報!$A$6:$BD$119,AD67,0),56,FALSE)),"",VLOOKUP($N67,OFFSET(選手情報!$A$6:$BD$119,AD67,0),56,FALSE)),"")</f>
        <v/>
      </c>
      <c r="AG67" s="127" t="str">
        <f ca="1">IF(AF67&lt;&gt;"",IF(ISNA(VLOOKUP($N67,OFFSET(選手情報!$A$6:$M$119,AF67,0),13,FALSE)),"","/"&amp;VLOOKUP($N67,OFFSET(選手情報!$A$6:$M$119,AF67,0),13,FALSE)),"")</f>
        <v/>
      </c>
      <c r="AH67" s="127" t="str">
        <f ca="1">IF(AF67&lt;&gt;"",IF(ISNA(VLOOKUP($N67,OFFSET(選手情報!$A$6:$BD$119,AF67,0),56,FALSE)),"",VLOOKUP($N67,OFFSET(選手情報!$A$6:$BD$119,AF67,0),56,FALSE)),"")</f>
        <v/>
      </c>
      <c r="AI67" s="127" t="str">
        <f ca="1">IF(AH67&lt;&gt;"",IF(ISNA(VLOOKUP($N67,OFFSET(選手情報!$A$6:$M$119,AH67,0),13,FALSE)),"","/"&amp;VLOOKUP($N67,OFFSET(選手情報!$A$6:$M$119,AH67,0),13,FALSE)),"")</f>
        <v/>
      </c>
      <c r="AJ67" s="127" t="str">
        <f ca="1">IF(AH67&lt;&gt;"",IF(ISNA(VLOOKUP($N67,OFFSET(選手情報!$A$6:$BD$119,AH67,0),56,FALSE)),"",VLOOKUP($N67,OFFSET(選手情報!$A$6:$BD$119,AH67,0),56,FALSE)),"")</f>
        <v/>
      </c>
      <c r="AK67" s="127" t="str">
        <f ca="1">IF(AJ67&lt;&gt;"",IF(ISNA(VLOOKUP($N67,OFFSET(選手情報!$A$6:$M$119,AJ67,0),13,FALSE)),"","/"&amp;VLOOKUP($N67,OFFSET(選手情報!$A$6:$M$119,AJ67,0),13,FALSE)),"")</f>
        <v/>
      </c>
      <c r="AL67" s="127" t="str">
        <f ca="1">IF(AJ67&lt;&gt;"",IF(ISNA(VLOOKUP($N67,OFFSET(選手情報!$A$6:$BD$119,AJ67,0),56,FALSE)),"",VLOOKUP($N67,OFFSET(選手情報!$A$6:$BD$119,AJ67,0),56,FALSE)),"")</f>
        <v/>
      </c>
      <c r="AM67" s="127" t="str">
        <f ca="1">IF(AL67&lt;&gt;"",IF(ISNA(VLOOKUP($N67,OFFSET(選手情報!$A$6:$M$119,AL67,0),13,FALSE)),"","/"&amp;VLOOKUP($N67,OFFSET(選手情報!$A$6:$M$119,AL67,0),13,FALSE)),"")</f>
        <v/>
      </c>
      <c r="AN67" s="127" t="str">
        <f ca="1">IF(AL67&lt;&gt;"",IF(ISNA(VLOOKUP($N67,OFFSET(選手情報!$A$6:$BD$119,AL67,0),56,FALSE)),"",VLOOKUP($N67,OFFSET(選手情報!$A$6:$BD$119,AL67,0),56,FALSE)),"")</f>
        <v/>
      </c>
      <c r="AO67" s="127" t="str">
        <f ca="1">IF(AN67&lt;&gt;"",IF(ISNA(VLOOKUP($N67,OFFSET(選手情報!$A$6:$M$119,AN67,0),13,FALSE)),"","/"&amp;VLOOKUP($N67,OFFSET(選手情報!$A$6:$M$119,AN67,0),13,FALSE)),"")</f>
        <v/>
      </c>
      <c r="AP67" s="127" t="str">
        <f ca="1">IF(AN67&lt;&gt;"",IF(ISNA(VLOOKUP($N67,OFFSET(選手情報!$A$6:$BD$119,AN67,0),56,FALSE)),"",VLOOKUP($N67,OFFSET(選手情報!$A$6:$BD$119,AN67,0),56,FALSE)),"")</f>
        <v/>
      </c>
      <c r="AQ67" s="127" t="str">
        <f ca="1">IF(AP67&lt;&gt;"",IF(ISNA(VLOOKUP($N67,OFFSET(選手情報!$A$6:$M$119,AP67,0),13,FALSE)),"","/"&amp;VLOOKUP($N67,OFFSET(選手情報!$A$6:$M$119,AP67,0),13,FALSE)),"")</f>
        <v/>
      </c>
      <c r="AR67" s="127" t="str">
        <f ca="1">IF(AP67&lt;&gt;"",IF(ISNA(VLOOKUP($N67,OFFSET(選手情報!$A$6:$BD$119,AP67,0),56,FALSE)),"",VLOOKUP($N67,OFFSET(選手情報!$A$6:$BD$119,AP67,0),56,FALSE)),"")</f>
        <v/>
      </c>
      <c r="AS67" s="127" t="str">
        <f ca="1">IF(AR67&lt;&gt;"",IF(ISNA(VLOOKUP($N67,OFFSET(選手情報!$A$6:$M$119,AR67,0),13,FALSE)),"","/"&amp;VLOOKUP($N67,OFFSET(選手情報!$A$6:$M$119,AR67,0),13,FALSE)),"")</f>
        <v/>
      </c>
      <c r="AT67" s="127" t="str">
        <f ca="1">IF(AR67&lt;&gt;"",IF(ISNA(VLOOKUP($N67,OFFSET(選手情報!$A$6:$BD$119,AR67,0),56,FALSE)),"",VLOOKUP($N67,OFFSET(選手情報!$A$6:$BD$119,AR67,0),56,FALSE)),"")</f>
        <v/>
      </c>
      <c r="AU67" s="127" t="str">
        <f ca="1">IF(AT67&lt;&gt;"",IF(ISNA(VLOOKUP($N67,OFFSET(選手情報!$A$6:$M$119,AT67,0),13,FALSE)),"","/"&amp;VLOOKUP($N67,OFFSET(選手情報!$A$6:$M$119,AT67,0),13,FALSE)),"")</f>
        <v/>
      </c>
      <c r="AV67" s="127" t="str">
        <f ca="1">IF(AT67&lt;&gt;"",IF(ISNA(VLOOKUP($N67,OFFSET(選手情報!$A$6:$BD$119,AT67,0),56,FALSE)),"",VLOOKUP($N67,OFFSET(選手情報!$A$6:$BD$119,AT67,0),56,FALSE)),"")</f>
        <v/>
      </c>
      <c r="AW67" s="127" t="str">
        <f ca="1">IF(AV67&lt;&gt;"",IF(ISNA(VLOOKUP($N67,OFFSET(選手情報!$A$6:$M$119,AV67,0),13,FALSE)),"","/"&amp;VLOOKUP($N67,OFFSET(選手情報!$A$6:$M$119,AV67,0),13,FALSE)),"")</f>
        <v/>
      </c>
      <c r="AX67" s="127" t="str">
        <f ca="1">IF(AV67&lt;&gt;"",IF(ISNA(VLOOKUP($N67,OFFSET(選手情報!$A$6:$BD$119,AV67,0),56,FALSE)),"",VLOOKUP($N67,OFFSET(選手情報!$A$6:$BD$119,AV67,0),56,FALSE)),"")</f>
        <v/>
      </c>
      <c r="AY67" s="127" t="str">
        <f ca="1">IF(AX67&lt;&gt;"",IF(ISNA(VLOOKUP($N67,OFFSET(選手情報!$A$6:$M$119,AX67,0),13,FALSE)),"","/"&amp;VLOOKUP($N67,OFFSET(選手情報!$A$6:$M$119,AX67,0),13,FALSE)),"")</f>
        <v/>
      </c>
      <c r="AZ67" s="127" t="str">
        <f ca="1">IF(AX67&lt;&gt;"",IF(ISNA(VLOOKUP($N67,OFFSET(選手情報!$A$6:$BD$119,AX67,0),56,FALSE)),"",VLOOKUP($N67,OFFSET(選手情報!$A$6:$BD$119,AX67,0),56,FALSE)),"")</f>
        <v/>
      </c>
      <c r="BA67" s="127" t="str">
        <f ca="1">IF(AZ67&lt;&gt;"",IF(ISNA(VLOOKUP($N67,OFFSET(選手情報!$A$6:$M$119,AZ67,0),13,FALSE)),"","/"&amp;VLOOKUP($N67,OFFSET(選手情報!$A$6:$M$119,AZ67,0),13,FALSE)),"")</f>
        <v/>
      </c>
      <c r="BB67" s="127" t="str">
        <f ca="1">IF(AZ67&lt;&gt;"",IF(ISNA(VLOOKUP($N67,OFFSET(選手情報!$A$6:$BD$119,AZ67,0),56,FALSE)),"",VLOOKUP($N67,OFFSET(選手情報!$A$6:$BD$119,AZ67,0),56,FALSE)),"")</f>
        <v/>
      </c>
      <c r="BC67" s="127" t="str">
        <f ca="1">IF(BB67&lt;&gt;"",IF(ISNA(VLOOKUP($N67,OFFSET(選手情報!$A$6:$M$119,BB67,0),13,FALSE)),"","/"&amp;VLOOKUP($N67,OFFSET(選手情報!$A$6:$M$119,BB67,0),13,FALSE)),"")</f>
        <v/>
      </c>
      <c r="BD67" s="127" t="str">
        <f ca="1">IF(BB67&lt;&gt;"",IF(ISNA(VLOOKUP($N67,OFFSET(選手情報!$A$6:$BD$119,BB67,0),56,FALSE)),"",VLOOKUP($N67,OFFSET(選手情報!$A$6:$BD$119,BB67,0),56,FALSE)),"")</f>
        <v/>
      </c>
      <c r="BE67" s="127" t="str">
        <f ca="1">IF(BD67&lt;&gt;"",IF(ISNA(VLOOKUP($N67,OFFSET(選手情報!$A$6:$M$119,BD67,0),13,FALSE)),"","/"&amp;VLOOKUP($N67,OFFSET(選手情報!$A$6:$M$119,BD67,0),13,FALSE)),"")</f>
        <v/>
      </c>
      <c r="BF67" s="127" t="str">
        <f ca="1">IF(BD67&lt;&gt;"",IF(ISNA(VLOOKUP($N67,OFFSET(選手情報!$A$6:$BD$119,BD67,0),56,FALSE)),"",VLOOKUP($N67,OFFSET(選手情報!$A$6:$BD$119,BD67,0),56,FALSE)),"")</f>
        <v/>
      </c>
      <c r="BG67" s="127" t="str">
        <f ca="1">IF(BF67&lt;&gt;"",IF(ISNA(VLOOKUP($N67,OFFSET(選手情報!$A$6:$M$119,BF67,0),13,FALSE)),"","/"&amp;VLOOKUP($N67,OFFSET(選手情報!$A$6:$M$119,BF67,0),13,FALSE)),"")</f>
        <v/>
      </c>
      <c r="BH67" s="127" t="str">
        <f ca="1">IF(BF67&lt;&gt;"",IF(ISNA(VLOOKUP($N67,OFFSET(選手情報!$A$6:$BD$119,BF67,0),56,FALSE)),"",VLOOKUP($N67,OFFSET(選手情報!$A$6:$BD$119,BF67,0),56,FALSE)),"")</f>
        <v/>
      </c>
      <c r="BI67" s="127" t="str">
        <f ca="1">IF(BH67&lt;&gt;"",IF(ISNA(VLOOKUP($N67,OFFSET(選手情報!$A$6:$M$119,BH67,0),13,FALSE)),"","/"&amp;VLOOKUP($N67,OFFSET(選手情報!$A$6:$M$119,BH67,0),13,FALSE)),"")</f>
        <v/>
      </c>
    </row>
    <row r="68" spans="1:61" s="127" customFormat="1" ht="12.6" customHeight="1">
      <c r="A68" s="128" t="str">
        <f>IF(ISNA(VLOOKUP($C$2&amp;N68,選手データ!A:H,3,FALSE)),"",IF(M68&lt;&gt;M67,VLOOKUP($C$2&amp;N68,選手データ!A:H,3,FALSE),""))</f>
        <v/>
      </c>
      <c r="B68" s="129" t="str">
        <f>IF(A68&lt;&gt;"",VLOOKUP($C$2&amp;N68,選手データ!A:H,4,FALSE),"")</f>
        <v/>
      </c>
      <c r="C68" s="129" t="str">
        <f>IF(A68&lt;&gt;"",VLOOKUP($C$2&amp;N68,選手データ!A:H,5,FALSE),"")</f>
        <v/>
      </c>
      <c r="D68" s="129" t="str">
        <f>IF(A68&lt;&gt;"",VLOOKUP($C$2&amp;N68,選手データ!A:H,6,FALSE),"")</f>
        <v/>
      </c>
      <c r="E68" s="129" t="str">
        <f>IF(A68&lt;&gt;"",VLOOKUP($C$2&amp;N68,選手データ!A:H,7,FALSE),"")</f>
        <v/>
      </c>
      <c r="F68" s="130" t="str">
        <f>IF(A68&lt;&gt;"",VLOOKUP($C$2&amp;N68,選手データ!A:H,8,FALSE),"")</f>
        <v/>
      </c>
      <c r="G68" s="130" t="str">
        <f>IF(F68&lt;&gt;"",IF(DATEDIF(F68,設定!$B$12,"Y")&lt;20,"〇",""),"")</f>
        <v/>
      </c>
      <c r="H68" s="131" t="str">
        <f t="shared" ca="1" si="0"/>
        <v/>
      </c>
      <c r="I68" s="132" t="str">
        <f t="shared" ca="1" si="1"/>
        <v/>
      </c>
      <c r="J68" s="131" t="str">
        <f t="shared" ca="1" si="2"/>
        <v/>
      </c>
      <c r="K68" s="130" t="str">
        <f>IF(A68&lt;&gt;"",IF(COUNTIF(リレーチーム情報!$B$5:$B$10,A68&amp;E68)=1,"〇",""),"")</f>
        <v/>
      </c>
      <c r="L68" s="133" t="str">
        <f>IF(A68&lt;&gt;"",IF(COUNTIF(リレーチーム情報!$B$11:$B$16,A68&amp;E68)=1,"〇",""),"")</f>
        <v/>
      </c>
      <c r="M68" s="127">
        <f>IF(学校情報!$A$4&lt;&gt;"",0,IF(S67=0,MAX($M$37:M67)+1,M67))</f>
        <v>0</v>
      </c>
      <c r="N68" s="127" t="str">
        <f>IF(M68&lt;&gt;0,VLOOKUP(M68,選手情報!BF:BG,2,FALSE),"")</f>
        <v/>
      </c>
      <c r="O68" s="127" t="str">
        <f ca="1">IF(M68&lt;&gt;0,VLOOKUP(N68,OFFSET(選手情報!$A$6:$W$119,IF(M68&lt;&gt;M67,0,R67),0),13,FALSE),"")</f>
        <v/>
      </c>
      <c r="P68" s="127" t="str">
        <f ca="1">IF(M68&lt;&gt;0,VLOOKUP(N68,OFFSET(選手情報!$A$6:$W$119,IF(M68&lt;&gt;M67,0,R67),0),16,FALSE),"")</f>
        <v/>
      </c>
      <c r="Q68" s="127" t="str">
        <f ca="1">IF(M68&lt;&gt;0,VLOOKUP(N68,OFFSET(選手情報!$A$6:$W$119,IF(M68&lt;&gt;M67,0,R67),0),21,FALSE),"")</f>
        <v/>
      </c>
      <c r="R68" s="127">
        <f ca="1">IF(M68&lt;&gt;0,VLOOKUP(N68,OFFSET(選手情報!$A$6:$BD$119,IF(M68&lt;&gt;M67,0,R67),0),56,FALSE),0)</f>
        <v>0</v>
      </c>
      <c r="S68" s="127">
        <f ca="1">IF(M68&lt;&gt;0,IF(ISNA(R68),0,COUNTIF(OFFSET(選手情報!$A$6:$A$119,R68,0),N68)),0)</f>
        <v>0</v>
      </c>
      <c r="U68" s="127">
        <f t="shared" si="3"/>
        <v>0</v>
      </c>
      <c r="V68" s="127">
        <f t="shared" ca="1" si="4"/>
        <v>1</v>
      </c>
      <c r="W68" s="127">
        <f t="shared" ca="1" si="5"/>
        <v>0</v>
      </c>
      <c r="X68" s="127" t="str">
        <f t="shared" ca="1" si="6"/>
        <v/>
      </c>
      <c r="Y68" s="127" t="str">
        <f>IF($A68&lt;&gt;"",IF(ISNA(VLOOKUP($N68,選手情報!$A$6:$M$119,13,FALSE)),"","/"&amp;VLOOKUP($N68,選手情報!$A$6:$M$119,13,FALSE)),"")</f>
        <v/>
      </c>
      <c r="Z68" s="127" t="str">
        <f ca="1">IF(Y68&lt;&gt;"",IF(ISNA(VLOOKUP($N68,OFFSET(選手情報!$A$6:$BD$119,0,0),56,FALSE)),"",VLOOKUP($N68,OFFSET(選手情報!$A$6:$BD$119,0,0),56,FALSE)),"")</f>
        <v/>
      </c>
      <c r="AA68" s="127" t="str">
        <f ca="1">IF(Z68&lt;&gt;"",IF(ISNA(VLOOKUP($N68,OFFSET(選手情報!$A$6:$M$119,Z68,0),13,FALSE)),"","/"&amp;VLOOKUP($N68,OFFSET(選手情報!$A$6:$M$119,Z68,0),13,FALSE)),"")</f>
        <v/>
      </c>
      <c r="AB68" s="127" t="str">
        <f ca="1">IF(Z68&lt;&gt;"",IF(ISNA(VLOOKUP($N68,OFFSET(選手情報!$A$6:$BD$119,Z68,0),56,FALSE)),"",VLOOKUP($N68,OFFSET(選手情報!$A$6:$BD$119,Z68,0),56,FALSE)),"")</f>
        <v/>
      </c>
      <c r="AC68" s="127" t="str">
        <f ca="1">IF(AB68&lt;&gt;"",IF(ISNA(VLOOKUP($N68,OFFSET(選手情報!$A$6:$M$119,AB68,0),13,FALSE)),"","/"&amp;VLOOKUP($N68,OFFSET(選手情報!$A$6:$M$119,AB68,0),13,FALSE)),"")</f>
        <v/>
      </c>
      <c r="AD68" s="127" t="str">
        <f ca="1">IF(AB68&lt;&gt;"",IF(ISNA(VLOOKUP($N68,OFFSET(選手情報!$A$6:$BD$119,AB68,0),56,FALSE)),"",VLOOKUP($N68,OFFSET(選手情報!$A$6:$BD$119,AB68,0),56,FALSE)),"")</f>
        <v/>
      </c>
      <c r="AE68" s="127" t="str">
        <f ca="1">IF(AD68&lt;&gt;"",IF(ISNA(VLOOKUP($N68,OFFSET(選手情報!$A$6:$M$119,AD68,0),13,FALSE)),"","/"&amp;VLOOKUP($N68,OFFSET(選手情報!$A$6:$M$119,AD68,0),13,FALSE)),"")</f>
        <v/>
      </c>
      <c r="AF68" s="127" t="str">
        <f ca="1">IF(AD68&lt;&gt;"",IF(ISNA(VLOOKUP($N68,OFFSET(選手情報!$A$6:$BD$119,AD68,0),56,FALSE)),"",VLOOKUP($N68,OFFSET(選手情報!$A$6:$BD$119,AD68,0),56,FALSE)),"")</f>
        <v/>
      </c>
      <c r="AG68" s="127" t="str">
        <f ca="1">IF(AF68&lt;&gt;"",IF(ISNA(VLOOKUP($N68,OFFSET(選手情報!$A$6:$M$119,AF68,0),13,FALSE)),"","/"&amp;VLOOKUP($N68,OFFSET(選手情報!$A$6:$M$119,AF68,0),13,FALSE)),"")</f>
        <v/>
      </c>
      <c r="AH68" s="127" t="str">
        <f ca="1">IF(AF68&lt;&gt;"",IF(ISNA(VLOOKUP($N68,OFFSET(選手情報!$A$6:$BD$119,AF68,0),56,FALSE)),"",VLOOKUP($N68,OFFSET(選手情報!$A$6:$BD$119,AF68,0),56,FALSE)),"")</f>
        <v/>
      </c>
      <c r="AI68" s="127" t="str">
        <f ca="1">IF(AH68&lt;&gt;"",IF(ISNA(VLOOKUP($N68,OFFSET(選手情報!$A$6:$M$119,AH68,0),13,FALSE)),"","/"&amp;VLOOKUP($N68,OFFSET(選手情報!$A$6:$M$119,AH68,0),13,FALSE)),"")</f>
        <v/>
      </c>
      <c r="AJ68" s="127" t="str">
        <f ca="1">IF(AH68&lt;&gt;"",IF(ISNA(VLOOKUP($N68,OFFSET(選手情報!$A$6:$BD$119,AH68,0),56,FALSE)),"",VLOOKUP($N68,OFFSET(選手情報!$A$6:$BD$119,AH68,0),56,FALSE)),"")</f>
        <v/>
      </c>
      <c r="AK68" s="127" t="str">
        <f ca="1">IF(AJ68&lt;&gt;"",IF(ISNA(VLOOKUP($N68,OFFSET(選手情報!$A$6:$M$119,AJ68,0),13,FALSE)),"","/"&amp;VLOOKUP($N68,OFFSET(選手情報!$A$6:$M$119,AJ68,0),13,FALSE)),"")</f>
        <v/>
      </c>
      <c r="AL68" s="127" t="str">
        <f ca="1">IF(AJ68&lt;&gt;"",IF(ISNA(VLOOKUP($N68,OFFSET(選手情報!$A$6:$BD$119,AJ68,0),56,FALSE)),"",VLOOKUP($N68,OFFSET(選手情報!$A$6:$BD$119,AJ68,0),56,FALSE)),"")</f>
        <v/>
      </c>
      <c r="AM68" s="127" t="str">
        <f ca="1">IF(AL68&lt;&gt;"",IF(ISNA(VLOOKUP($N68,OFFSET(選手情報!$A$6:$M$119,AL68,0),13,FALSE)),"","/"&amp;VLOOKUP($N68,OFFSET(選手情報!$A$6:$M$119,AL68,0),13,FALSE)),"")</f>
        <v/>
      </c>
      <c r="AN68" s="127" t="str">
        <f ca="1">IF(AL68&lt;&gt;"",IF(ISNA(VLOOKUP($N68,OFFSET(選手情報!$A$6:$BD$119,AL68,0),56,FALSE)),"",VLOOKUP($N68,OFFSET(選手情報!$A$6:$BD$119,AL68,0),56,FALSE)),"")</f>
        <v/>
      </c>
      <c r="AO68" s="127" t="str">
        <f ca="1">IF(AN68&lt;&gt;"",IF(ISNA(VLOOKUP($N68,OFFSET(選手情報!$A$6:$M$119,AN68,0),13,FALSE)),"","/"&amp;VLOOKUP($N68,OFFSET(選手情報!$A$6:$M$119,AN68,0),13,FALSE)),"")</f>
        <v/>
      </c>
      <c r="AP68" s="127" t="str">
        <f ca="1">IF(AN68&lt;&gt;"",IF(ISNA(VLOOKUP($N68,OFFSET(選手情報!$A$6:$BD$119,AN68,0),56,FALSE)),"",VLOOKUP($N68,OFFSET(選手情報!$A$6:$BD$119,AN68,0),56,FALSE)),"")</f>
        <v/>
      </c>
      <c r="AQ68" s="127" t="str">
        <f ca="1">IF(AP68&lt;&gt;"",IF(ISNA(VLOOKUP($N68,OFFSET(選手情報!$A$6:$M$119,AP68,0),13,FALSE)),"","/"&amp;VLOOKUP($N68,OFFSET(選手情報!$A$6:$M$119,AP68,0),13,FALSE)),"")</f>
        <v/>
      </c>
      <c r="AR68" s="127" t="str">
        <f ca="1">IF(AP68&lt;&gt;"",IF(ISNA(VLOOKUP($N68,OFFSET(選手情報!$A$6:$BD$119,AP68,0),56,FALSE)),"",VLOOKUP($N68,OFFSET(選手情報!$A$6:$BD$119,AP68,0),56,FALSE)),"")</f>
        <v/>
      </c>
      <c r="AS68" s="127" t="str">
        <f ca="1">IF(AR68&lt;&gt;"",IF(ISNA(VLOOKUP($N68,OFFSET(選手情報!$A$6:$M$119,AR68,0),13,FALSE)),"","/"&amp;VLOOKUP($N68,OFFSET(選手情報!$A$6:$M$119,AR68,0),13,FALSE)),"")</f>
        <v/>
      </c>
      <c r="AT68" s="127" t="str">
        <f ca="1">IF(AR68&lt;&gt;"",IF(ISNA(VLOOKUP($N68,OFFSET(選手情報!$A$6:$BD$119,AR68,0),56,FALSE)),"",VLOOKUP($N68,OFFSET(選手情報!$A$6:$BD$119,AR68,0),56,FALSE)),"")</f>
        <v/>
      </c>
      <c r="AU68" s="127" t="str">
        <f ca="1">IF(AT68&lt;&gt;"",IF(ISNA(VLOOKUP($N68,OFFSET(選手情報!$A$6:$M$119,AT68,0),13,FALSE)),"","/"&amp;VLOOKUP($N68,OFFSET(選手情報!$A$6:$M$119,AT68,0),13,FALSE)),"")</f>
        <v/>
      </c>
      <c r="AV68" s="127" t="str">
        <f ca="1">IF(AT68&lt;&gt;"",IF(ISNA(VLOOKUP($N68,OFFSET(選手情報!$A$6:$BD$119,AT68,0),56,FALSE)),"",VLOOKUP($N68,OFFSET(選手情報!$A$6:$BD$119,AT68,0),56,FALSE)),"")</f>
        <v/>
      </c>
      <c r="AW68" s="127" t="str">
        <f ca="1">IF(AV68&lt;&gt;"",IF(ISNA(VLOOKUP($N68,OFFSET(選手情報!$A$6:$M$119,AV68,0),13,FALSE)),"","/"&amp;VLOOKUP($N68,OFFSET(選手情報!$A$6:$M$119,AV68,0),13,FALSE)),"")</f>
        <v/>
      </c>
      <c r="AX68" s="127" t="str">
        <f ca="1">IF(AV68&lt;&gt;"",IF(ISNA(VLOOKUP($N68,OFFSET(選手情報!$A$6:$BD$119,AV68,0),56,FALSE)),"",VLOOKUP($N68,OFFSET(選手情報!$A$6:$BD$119,AV68,0),56,FALSE)),"")</f>
        <v/>
      </c>
      <c r="AY68" s="127" t="str">
        <f ca="1">IF(AX68&lt;&gt;"",IF(ISNA(VLOOKUP($N68,OFFSET(選手情報!$A$6:$M$119,AX68,0),13,FALSE)),"","/"&amp;VLOOKUP($N68,OFFSET(選手情報!$A$6:$M$119,AX68,0),13,FALSE)),"")</f>
        <v/>
      </c>
      <c r="AZ68" s="127" t="str">
        <f ca="1">IF(AX68&lt;&gt;"",IF(ISNA(VLOOKUP($N68,OFFSET(選手情報!$A$6:$BD$119,AX68,0),56,FALSE)),"",VLOOKUP($N68,OFFSET(選手情報!$A$6:$BD$119,AX68,0),56,FALSE)),"")</f>
        <v/>
      </c>
      <c r="BA68" s="127" t="str">
        <f ca="1">IF(AZ68&lt;&gt;"",IF(ISNA(VLOOKUP($N68,OFFSET(選手情報!$A$6:$M$119,AZ68,0),13,FALSE)),"","/"&amp;VLOOKUP($N68,OFFSET(選手情報!$A$6:$M$119,AZ68,0),13,FALSE)),"")</f>
        <v/>
      </c>
      <c r="BB68" s="127" t="str">
        <f ca="1">IF(AZ68&lt;&gt;"",IF(ISNA(VLOOKUP($N68,OFFSET(選手情報!$A$6:$BD$119,AZ68,0),56,FALSE)),"",VLOOKUP($N68,OFFSET(選手情報!$A$6:$BD$119,AZ68,0),56,FALSE)),"")</f>
        <v/>
      </c>
      <c r="BC68" s="127" t="str">
        <f ca="1">IF(BB68&lt;&gt;"",IF(ISNA(VLOOKUP($N68,OFFSET(選手情報!$A$6:$M$119,BB68,0),13,FALSE)),"","/"&amp;VLOOKUP($N68,OFFSET(選手情報!$A$6:$M$119,BB68,0),13,FALSE)),"")</f>
        <v/>
      </c>
      <c r="BD68" s="127" t="str">
        <f ca="1">IF(BB68&lt;&gt;"",IF(ISNA(VLOOKUP($N68,OFFSET(選手情報!$A$6:$BD$119,BB68,0),56,FALSE)),"",VLOOKUP($N68,OFFSET(選手情報!$A$6:$BD$119,BB68,0),56,FALSE)),"")</f>
        <v/>
      </c>
      <c r="BE68" s="127" t="str">
        <f ca="1">IF(BD68&lt;&gt;"",IF(ISNA(VLOOKUP($N68,OFFSET(選手情報!$A$6:$M$119,BD68,0),13,FALSE)),"","/"&amp;VLOOKUP($N68,OFFSET(選手情報!$A$6:$M$119,BD68,0),13,FALSE)),"")</f>
        <v/>
      </c>
      <c r="BF68" s="127" t="str">
        <f ca="1">IF(BD68&lt;&gt;"",IF(ISNA(VLOOKUP($N68,OFFSET(選手情報!$A$6:$BD$119,BD68,0),56,FALSE)),"",VLOOKUP($N68,OFFSET(選手情報!$A$6:$BD$119,BD68,0),56,FALSE)),"")</f>
        <v/>
      </c>
      <c r="BG68" s="127" t="str">
        <f ca="1">IF(BF68&lt;&gt;"",IF(ISNA(VLOOKUP($N68,OFFSET(選手情報!$A$6:$M$119,BF68,0),13,FALSE)),"","/"&amp;VLOOKUP($N68,OFFSET(選手情報!$A$6:$M$119,BF68,0),13,FALSE)),"")</f>
        <v/>
      </c>
      <c r="BH68" s="127" t="str">
        <f ca="1">IF(BF68&lt;&gt;"",IF(ISNA(VLOOKUP($N68,OFFSET(選手情報!$A$6:$BD$119,BF68,0),56,FALSE)),"",VLOOKUP($N68,OFFSET(選手情報!$A$6:$BD$119,BF68,0),56,FALSE)),"")</f>
        <v/>
      </c>
      <c r="BI68" s="127" t="str">
        <f ca="1">IF(BH68&lt;&gt;"",IF(ISNA(VLOOKUP($N68,OFFSET(選手情報!$A$6:$M$119,BH68,0),13,FALSE)),"","/"&amp;VLOOKUP($N68,OFFSET(選手情報!$A$6:$M$119,BH68,0),13,FALSE)),"")</f>
        <v/>
      </c>
    </row>
    <row r="69" spans="1:61" s="127" customFormat="1" ht="12.6" customHeight="1">
      <c r="A69" s="128" t="str">
        <f>IF(ISNA(VLOOKUP($C$2&amp;N69,選手データ!A:H,3,FALSE)),"",IF(M69&lt;&gt;M68,VLOOKUP($C$2&amp;N69,選手データ!A:H,3,FALSE),""))</f>
        <v/>
      </c>
      <c r="B69" s="129" t="str">
        <f>IF(A69&lt;&gt;"",VLOOKUP($C$2&amp;N69,選手データ!A:H,4,FALSE),"")</f>
        <v/>
      </c>
      <c r="C69" s="129" t="str">
        <f>IF(A69&lt;&gt;"",VLOOKUP($C$2&amp;N69,選手データ!A:H,5,FALSE),"")</f>
        <v/>
      </c>
      <c r="D69" s="129" t="str">
        <f>IF(A69&lt;&gt;"",VLOOKUP($C$2&amp;N69,選手データ!A:H,6,FALSE),"")</f>
        <v/>
      </c>
      <c r="E69" s="129" t="str">
        <f>IF(A69&lt;&gt;"",VLOOKUP($C$2&amp;N69,選手データ!A:H,7,FALSE),"")</f>
        <v/>
      </c>
      <c r="F69" s="130" t="str">
        <f>IF(A69&lt;&gt;"",VLOOKUP($C$2&amp;N69,選手データ!A:H,8,FALSE),"")</f>
        <v/>
      </c>
      <c r="G69" s="130" t="str">
        <f>IF(F69&lt;&gt;"",IF(DATEDIF(F69,設定!$B$12,"Y")&lt;20,"〇",""),"")</f>
        <v/>
      </c>
      <c r="H69" s="131" t="str">
        <f t="shared" ca="1" si="0"/>
        <v/>
      </c>
      <c r="I69" s="132" t="str">
        <f t="shared" ca="1" si="1"/>
        <v/>
      </c>
      <c r="J69" s="131" t="str">
        <f t="shared" ca="1" si="2"/>
        <v/>
      </c>
      <c r="K69" s="130" t="str">
        <f>IF(A69&lt;&gt;"",IF(COUNTIF(リレーチーム情報!$B$5:$B$10,A69&amp;E69)=1,"〇",""),"")</f>
        <v/>
      </c>
      <c r="L69" s="133" t="str">
        <f>IF(A69&lt;&gt;"",IF(COUNTIF(リレーチーム情報!$B$11:$B$16,A69&amp;E69)=1,"〇",""),"")</f>
        <v/>
      </c>
      <c r="M69" s="127">
        <f>IF(学校情報!$A$4&lt;&gt;"",0,IF(S68=0,MAX($M$37:M68)+1,M68))</f>
        <v>0</v>
      </c>
      <c r="N69" s="127" t="str">
        <f>IF(M69&lt;&gt;0,VLOOKUP(M69,選手情報!BF:BG,2,FALSE),"")</f>
        <v/>
      </c>
      <c r="O69" s="127" t="str">
        <f ca="1">IF(M69&lt;&gt;0,VLOOKUP(N69,OFFSET(選手情報!$A$6:$W$119,IF(M69&lt;&gt;M68,0,R68),0),13,FALSE),"")</f>
        <v/>
      </c>
      <c r="P69" s="127" t="str">
        <f ca="1">IF(M69&lt;&gt;0,VLOOKUP(N69,OFFSET(選手情報!$A$6:$W$119,IF(M69&lt;&gt;M68,0,R68),0),16,FALSE),"")</f>
        <v/>
      </c>
      <c r="Q69" s="127" t="str">
        <f ca="1">IF(M69&lt;&gt;0,VLOOKUP(N69,OFFSET(選手情報!$A$6:$W$119,IF(M69&lt;&gt;M68,0,R68),0),21,FALSE),"")</f>
        <v/>
      </c>
      <c r="R69" s="127">
        <f ca="1">IF(M69&lt;&gt;0,VLOOKUP(N69,OFFSET(選手情報!$A$6:$BD$119,IF(M69&lt;&gt;M68,0,R68),0),56,FALSE),0)</f>
        <v>0</v>
      </c>
      <c r="S69" s="127">
        <f ca="1">IF(M69&lt;&gt;0,IF(ISNA(R69),0,COUNTIF(OFFSET(選手情報!$A$6:$A$119,R69,0),N69)),0)</f>
        <v>0</v>
      </c>
      <c r="U69" s="127">
        <f t="shared" si="3"/>
        <v>0</v>
      </c>
      <c r="V69" s="127">
        <f t="shared" ca="1" si="4"/>
        <v>1</v>
      </c>
      <c r="W69" s="127">
        <f t="shared" ca="1" si="5"/>
        <v>0</v>
      </c>
      <c r="X69" s="127" t="str">
        <f t="shared" ca="1" si="6"/>
        <v/>
      </c>
      <c r="Y69" s="127" t="str">
        <f>IF($A69&lt;&gt;"",IF(ISNA(VLOOKUP($N69,選手情報!$A$6:$M$119,13,FALSE)),"","/"&amp;VLOOKUP($N69,選手情報!$A$6:$M$119,13,FALSE)),"")</f>
        <v/>
      </c>
      <c r="Z69" s="127" t="str">
        <f ca="1">IF(Y69&lt;&gt;"",IF(ISNA(VLOOKUP($N69,OFFSET(選手情報!$A$6:$BD$119,0,0),56,FALSE)),"",VLOOKUP($N69,OFFSET(選手情報!$A$6:$BD$119,0,0),56,FALSE)),"")</f>
        <v/>
      </c>
      <c r="AA69" s="127" t="str">
        <f ca="1">IF(Z69&lt;&gt;"",IF(ISNA(VLOOKUP($N69,OFFSET(選手情報!$A$6:$M$119,Z69,0),13,FALSE)),"","/"&amp;VLOOKUP($N69,OFFSET(選手情報!$A$6:$M$119,Z69,0),13,FALSE)),"")</f>
        <v/>
      </c>
      <c r="AB69" s="127" t="str">
        <f ca="1">IF(Z69&lt;&gt;"",IF(ISNA(VLOOKUP($N69,OFFSET(選手情報!$A$6:$BD$119,Z69,0),56,FALSE)),"",VLOOKUP($N69,OFFSET(選手情報!$A$6:$BD$119,Z69,0),56,FALSE)),"")</f>
        <v/>
      </c>
      <c r="AC69" s="127" t="str">
        <f ca="1">IF(AB69&lt;&gt;"",IF(ISNA(VLOOKUP($N69,OFFSET(選手情報!$A$6:$M$119,AB69,0),13,FALSE)),"","/"&amp;VLOOKUP($N69,OFFSET(選手情報!$A$6:$M$119,AB69,0),13,FALSE)),"")</f>
        <v/>
      </c>
      <c r="AD69" s="127" t="str">
        <f ca="1">IF(AB69&lt;&gt;"",IF(ISNA(VLOOKUP($N69,OFFSET(選手情報!$A$6:$BD$119,AB69,0),56,FALSE)),"",VLOOKUP($N69,OFFSET(選手情報!$A$6:$BD$119,AB69,0),56,FALSE)),"")</f>
        <v/>
      </c>
      <c r="AE69" s="127" t="str">
        <f ca="1">IF(AD69&lt;&gt;"",IF(ISNA(VLOOKUP($N69,OFFSET(選手情報!$A$6:$M$119,AD69,0),13,FALSE)),"","/"&amp;VLOOKUP($N69,OFFSET(選手情報!$A$6:$M$119,AD69,0),13,FALSE)),"")</f>
        <v/>
      </c>
      <c r="AF69" s="127" t="str">
        <f ca="1">IF(AD69&lt;&gt;"",IF(ISNA(VLOOKUP($N69,OFFSET(選手情報!$A$6:$BD$119,AD69,0),56,FALSE)),"",VLOOKUP($N69,OFFSET(選手情報!$A$6:$BD$119,AD69,0),56,FALSE)),"")</f>
        <v/>
      </c>
      <c r="AG69" s="127" t="str">
        <f ca="1">IF(AF69&lt;&gt;"",IF(ISNA(VLOOKUP($N69,OFFSET(選手情報!$A$6:$M$119,AF69,0),13,FALSE)),"","/"&amp;VLOOKUP($N69,OFFSET(選手情報!$A$6:$M$119,AF69,0),13,FALSE)),"")</f>
        <v/>
      </c>
      <c r="AH69" s="127" t="str">
        <f ca="1">IF(AF69&lt;&gt;"",IF(ISNA(VLOOKUP($N69,OFFSET(選手情報!$A$6:$BD$119,AF69,0),56,FALSE)),"",VLOOKUP($N69,OFFSET(選手情報!$A$6:$BD$119,AF69,0),56,FALSE)),"")</f>
        <v/>
      </c>
      <c r="AI69" s="127" t="str">
        <f ca="1">IF(AH69&lt;&gt;"",IF(ISNA(VLOOKUP($N69,OFFSET(選手情報!$A$6:$M$119,AH69,0),13,FALSE)),"","/"&amp;VLOOKUP($N69,OFFSET(選手情報!$A$6:$M$119,AH69,0),13,FALSE)),"")</f>
        <v/>
      </c>
      <c r="AJ69" s="127" t="str">
        <f ca="1">IF(AH69&lt;&gt;"",IF(ISNA(VLOOKUP($N69,OFFSET(選手情報!$A$6:$BD$119,AH69,0),56,FALSE)),"",VLOOKUP($N69,OFFSET(選手情報!$A$6:$BD$119,AH69,0),56,FALSE)),"")</f>
        <v/>
      </c>
      <c r="AK69" s="127" t="str">
        <f ca="1">IF(AJ69&lt;&gt;"",IF(ISNA(VLOOKUP($N69,OFFSET(選手情報!$A$6:$M$119,AJ69,0),13,FALSE)),"","/"&amp;VLOOKUP($N69,OFFSET(選手情報!$A$6:$M$119,AJ69,0),13,FALSE)),"")</f>
        <v/>
      </c>
      <c r="AL69" s="127" t="str">
        <f ca="1">IF(AJ69&lt;&gt;"",IF(ISNA(VLOOKUP($N69,OFFSET(選手情報!$A$6:$BD$119,AJ69,0),56,FALSE)),"",VLOOKUP($N69,OFFSET(選手情報!$A$6:$BD$119,AJ69,0),56,FALSE)),"")</f>
        <v/>
      </c>
      <c r="AM69" s="127" t="str">
        <f ca="1">IF(AL69&lt;&gt;"",IF(ISNA(VLOOKUP($N69,OFFSET(選手情報!$A$6:$M$119,AL69,0),13,FALSE)),"","/"&amp;VLOOKUP($N69,OFFSET(選手情報!$A$6:$M$119,AL69,0),13,FALSE)),"")</f>
        <v/>
      </c>
      <c r="AN69" s="127" t="str">
        <f ca="1">IF(AL69&lt;&gt;"",IF(ISNA(VLOOKUP($N69,OFFSET(選手情報!$A$6:$BD$119,AL69,0),56,FALSE)),"",VLOOKUP($N69,OFFSET(選手情報!$A$6:$BD$119,AL69,0),56,FALSE)),"")</f>
        <v/>
      </c>
      <c r="AO69" s="127" t="str">
        <f ca="1">IF(AN69&lt;&gt;"",IF(ISNA(VLOOKUP($N69,OFFSET(選手情報!$A$6:$M$119,AN69,0),13,FALSE)),"","/"&amp;VLOOKUP($N69,OFFSET(選手情報!$A$6:$M$119,AN69,0),13,FALSE)),"")</f>
        <v/>
      </c>
      <c r="AP69" s="127" t="str">
        <f ca="1">IF(AN69&lt;&gt;"",IF(ISNA(VLOOKUP($N69,OFFSET(選手情報!$A$6:$BD$119,AN69,0),56,FALSE)),"",VLOOKUP($N69,OFFSET(選手情報!$A$6:$BD$119,AN69,0),56,FALSE)),"")</f>
        <v/>
      </c>
      <c r="AQ69" s="127" t="str">
        <f ca="1">IF(AP69&lt;&gt;"",IF(ISNA(VLOOKUP($N69,OFFSET(選手情報!$A$6:$M$119,AP69,0),13,FALSE)),"","/"&amp;VLOOKUP($N69,OFFSET(選手情報!$A$6:$M$119,AP69,0),13,FALSE)),"")</f>
        <v/>
      </c>
      <c r="AR69" s="127" t="str">
        <f ca="1">IF(AP69&lt;&gt;"",IF(ISNA(VLOOKUP($N69,OFFSET(選手情報!$A$6:$BD$119,AP69,0),56,FALSE)),"",VLOOKUP($N69,OFFSET(選手情報!$A$6:$BD$119,AP69,0),56,FALSE)),"")</f>
        <v/>
      </c>
      <c r="AS69" s="127" t="str">
        <f ca="1">IF(AR69&lt;&gt;"",IF(ISNA(VLOOKUP($N69,OFFSET(選手情報!$A$6:$M$119,AR69,0),13,FALSE)),"","/"&amp;VLOOKUP($N69,OFFSET(選手情報!$A$6:$M$119,AR69,0),13,FALSE)),"")</f>
        <v/>
      </c>
      <c r="AT69" s="127" t="str">
        <f ca="1">IF(AR69&lt;&gt;"",IF(ISNA(VLOOKUP($N69,OFFSET(選手情報!$A$6:$BD$119,AR69,0),56,FALSE)),"",VLOOKUP($N69,OFFSET(選手情報!$A$6:$BD$119,AR69,0),56,FALSE)),"")</f>
        <v/>
      </c>
      <c r="AU69" s="127" t="str">
        <f ca="1">IF(AT69&lt;&gt;"",IF(ISNA(VLOOKUP($N69,OFFSET(選手情報!$A$6:$M$119,AT69,0),13,FALSE)),"","/"&amp;VLOOKUP($N69,OFFSET(選手情報!$A$6:$M$119,AT69,0),13,FALSE)),"")</f>
        <v/>
      </c>
      <c r="AV69" s="127" t="str">
        <f ca="1">IF(AT69&lt;&gt;"",IF(ISNA(VLOOKUP($N69,OFFSET(選手情報!$A$6:$BD$119,AT69,0),56,FALSE)),"",VLOOKUP($N69,OFFSET(選手情報!$A$6:$BD$119,AT69,0),56,FALSE)),"")</f>
        <v/>
      </c>
      <c r="AW69" s="127" t="str">
        <f ca="1">IF(AV69&lt;&gt;"",IF(ISNA(VLOOKUP($N69,OFFSET(選手情報!$A$6:$M$119,AV69,0),13,FALSE)),"","/"&amp;VLOOKUP($N69,OFFSET(選手情報!$A$6:$M$119,AV69,0),13,FALSE)),"")</f>
        <v/>
      </c>
      <c r="AX69" s="127" t="str">
        <f ca="1">IF(AV69&lt;&gt;"",IF(ISNA(VLOOKUP($N69,OFFSET(選手情報!$A$6:$BD$119,AV69,0),56,FALSE)),"",VLOOKUP($N69,OFFSET(選手情報!$A$6:$BD$119,AV69,0),56,FALSE)),"")</f>
        <v/>
      </c>
      <c r="AY69" s="127" t="str">
        <f ca="1">IF(AX69&lt;&gt;"",IF(ISNA(VLOOKUP($N69,OFFSET(選手情報!$A$6:$M$119,AX69,0),13,FALSE)),"","/"&amp;VLOOKUP($N69,OFFSET(選手情報!$A$6:$M$119,AX69,0),13,FALSE)),"")</f>
        <v/>
      </c>
      <c r="AZ69" s="127" t="str">
        <f ca="1">IF(AX69&lt;&gt;"",IF(ISNA(VLOOKUP($N69,OFFSET(選手情報!$A$6:$BD$119,AX69,0),56,FALSE)),"",VLOOKUP($N69,OFFSET(選手情報!$A$6:$BD$119,AX69,0),56,FALSE)),"")</f>
        <v/>
      </c>
      <c r="BA69" s="127" t="str">
        <f ca="1">IF(AZ69&lt;&gt;"",IF(ISNA(VLOOKUP($N69,OFFSET(選手情報!$A$6:$M$119,AZ69,0),13,FALSE)),"","/"&amp;VLOOKUP($N69,OFFSET(選手情報!$A$6:$M$119,AZ69,0),13,FALSE)),"")</f>
        <v/>
      </c>
      <c r="BB69" s="127" t="str">
        <f ca="1">IF(AZ69&lt;&gt;"",IF(ISNA(VLOOKUP($N69,OFFSET(選手情報!$A$6:$BD$119,AZ69,0),56,FALSE)),"",VLOOKUP($N69,OFFSET(選手情報!$A$6:$BD$119,AZ69,0),56,FALSE)),"")</f>
        <v/>
      </c>
      <c r="BC69" s="127" t="str">
        <f ca="1">IF(BB69&lt;&gt;"",IF(ISNA(VLOOKUP($N69,OFFSET(選手情報!$A$6:$M$119,BB69,0),13,FALSE)),"","/"&amp;VLOOKUP($N69,OFFSET(選手情報!$A$6:$M$119,BB69,0),13,FALSE)),"")</f>
        <v/>
      </c>
      <c r="BD69" s="127" t="str">
        <f ca="1">IF(BB69&lt;&gt;"",IF(ISNA(VLOOKUP($N69,OFFSET(選手情報!$A$6:$BD$119,BB69,0),56,FALSE)),"",VLOOKUP($N69,OFFSET(選手情報!$A$6:$BD$119,BB69,0),56,FALSE)),"")</f>
        <v/>
      </c>
      <c r="BE69" s="127" t="str">
        <f ca="1">IF(BD69&lt;&gt;"",IF(ISNA(VLOOKUP($N69,OFFSET(選手情報!$A$6:$M$119,BD69,0),13,FALSE)),"","/"&amp;VLOOKUP($N69,OFFSET(選手情報!$A$6:$M$119,BD69,0),13,FALSE)),"")</f>
        <v/>
      </c>
      <c r="BF69" s="127" t="str">
        <f ca="1">IF(BD69&lt;&gt;"",IF(ISNA(VLOOKUP($N69,OFFSET(選手情報!$A$6:$BD$119,BD69,0),56,FALSE)),"",VLOOKUP($N69,OFFSET(選手情報!$A$6:$BD$119,BD69,0),56,FALSE)),"")</f>
        <v/>
      </c>
      <c r="BG69" s="127" t="str">
        <f ca="1">IF(BF69&lt;&gt;"",IF(ISNA(VLOOKUP($N69,OFFSET(選手情報!$A$6:$M$119,BF69,0),13,FALSE)),"","/"&amp;VLOOKUP($N69,OFFSET(選手情報!$A$6:$M$119,BF69,0),13,FALSE)),"")</f>
        <v/>
      </c>
      <c r="BH69" s="127" t="str">
        <f ca="1">IF(BF69&lt;&gt;"",IF(ISNA(VLOOKUP($N69,OFFSET(選手情報!$A$6:$BD$119,BF69,0),56,FALSE)),"",VLOOKUP($N69,OFFSET(選手情報!$A$6:$BD$119,BF69,0),56,FALSE)),"")</f>
        <v/>
      </c>
      <c r="BI69" s="127" t="str">
        <f ca="1">IF(BH69&lt;&gt;"",IF(ISNA(VLOOKUP($N69,OFFSET(選手情報!$A$6:$M$119,BH69,0),13,FALSE)),"","/"&amp;VLOOKUP($N69,OFFSET(選手情報!$A$6:$M$119,BH69,0),13,FALSE)),"")</f>
        <v/>
      </c>
    </row>
    <row r="70" spans="1:61" s="127" customFormat="1" ht="12.6" customHeight="1">
      <c r="A70" s="128" t="str">
        <f>IF(ISNA(VLOOKUP($C$2&amp;N70,選手データ!A:H,3,FALSE)),"",IF(M70&lt;&gt;M69,VLOOKUP($C$2&amp;N70,選手データ!A:H,3,FALSE),""))</f>
        <v/>
      </c>
      <c r="B70" s="129" t="str">
        <f>IF(A70&lt;&gt;"",VLOOKUP($C$2&amp;N70,選手データ!A:H,4,FALSE),"")</f>
        <v/>
      </c>
      <c r="C70" s="129" t="str">
        <f>IF(A70&lt;&gt;"",VLOOKUP($C$2&amp;N70,選手データ!A:H,5,FALSE),"")</f>
        <v/>
      </c>
      <c r="D70" s="129" t="str">
        <f>IF(A70&lt;&gt;"",VLOOKUP($C$2&amp;N70,選手データ!A:H,6,FALSE),"")</f>
        <v/>
      </c>
      <c r="E70" s="129" t="str">
        <f>IF(A70&lt;&gt;"",VLOOKUP($C$2&amp;N70,選手データ!A:H,7,FALSE),"")</f>
        <v/>
      </c>
      <c r="F70" s="130" t="str">
        <f>IF(A70&lt;&gt;"",VLOOKUP($C$2&amp;N70,選手データ!A:H,8,FALSE),"")</f>
        <v/>
      </c>
      <c r="G70" s="130" t="str">
        <f>IF(F70&lt;&gt;"",IF(DATEDIF(F70,設定!$B$12,"Y")&lt;20,"〇",""),"")</f>
        <v/>
      </c>
      <c r="H70" s="131" t="str">
        <f t="shared" ca="1" si="0"/>
        <v/>
      </c>
      <c r="I70" s="132" t="str">
        <f t="shared" ca="1" si="1"/>
        <v/>
      </c>
      <c r="J70" s="131" t="str">
        <f t="shared" ca="1" si="2"/>
        <v/>
      </c>
      <c r="K70" s="130" t="str">
        <f>IF(A70&lt;&gt;"",IF(COUNTIF(リレーチーム情報!$B$5:$B$10,A70&amp;E70)=1,"〇",""),"")</f>
        <v/>
      </c>
      <c r="L70" s="133" t="str">
        <f>IF(A70&lt;&gt;"",IF(COUNTIF(リレーチーム情報!$B$11:$B$16,A70&amp;E70)=1,"〇",""),"")</f>
        <v/>
      </c>
      <c r="M70" s="127">
        <f>IF(学校情報!$A$4&lt;&gt;"",0,IF(S69=0,MAX($M$37:M69)+1,M69))</f>
        <v>0</v>
      </c>
      <c r="N70" s="127" t="str">
        <f>IF(M70&lt;&gt;0,VLOOKUP(M70,選手情報!BF:BG,2,FALSE),"")</f>
        <v/>
      </c>
      <c r="O70" s="127" t="str">
        <f ca="1">IF(M70&lt;&gt;0,VLOOKUP(N70,OFFSET(選手情報!$A$6:$W$119,IF(M70&lt;&gt;M69,0,R69),0),13,FALSE),"")</f>
        <v/>
      </c>
      <c r="P70" s="127" t="str">
        <f ca="1">IF(M70&lt;&gt;0,VLOOKUP(N70,OFFSET(選手情報!$A$6:$W$119,IF(M70&lt;&gt;M69,0,R69),0),16,FALSE),"")</f>
        <v/>
      </c>
      <c r="Q70" s="127" t="str">
        <f ca="1">IF(M70&lt;&gt;0,VLOOKUP(N70,OFFSET(選手情報!$A$6:$W$119,IF(M70&lt;&gt;M69,0,R69),0),21,FALSE),"")</f>
        <v/>
      </c>
      <c r="R70" s="127">
        <f ca="1">IF(M70&lt;&gt;0,VLOOKUP(N70,OFFSET(選手情報!$A$6:$BD$119,IF(M70&lt;&gt;M69,0,R69),0),56,FALSE),0)</f>
        <v>0</v>
      </c>
      <c r="S70" s="127">
        <f ca="1">IF(M70&lt;&gt;0,IF(ISNA(R70),0,COUNTIF(OFFSET(選手情報!$A$6:$A$119,R70,0),N70)),0)</f>
        <v>0</v>
      </c>
      <c r="U70" s="127">
        <f t="shared" si="3"/>
        <v>0</v>
      </c>
      <c r="V70" s="127">
        <f t="shared" ca="1" si="4"/>
        <v>1</v>
      </c>
      <c r="W70" s="127">
        <f t="shared" ca="1" si="5"/>
        <v>0</v>
      </c>
      <c r="X70" s="127" t="str">
        <f t="shared" ca="1" si="6"/>
        <v/>
      </c>
      <c r="Y70" s="127" t="str">
        <f>IF($A70&lt;&gt;"",IF(ISNA(VLOOKUP($N70,選手情報!$A$6:$M$119,13,FALSE)),"","/"&amp;VLOOKUP($N70,選手情報!$A$6:$M$119,13,FALSE)),"")</f>
        <v/>
      </c>
      <c r="Z70" s="127" t="str">
        <f ca="1">IF(Y70&lt;&gt;"",IF(ISNA(VLOOKUP($N70,OFFSET(選手情報!$A$6:$BD$119,0,0),56,FALSE)),"",VLOOKUP($N70,OFFSET(選手情報!$A$6:$BD$119,0,0),56,FALSE)),"")</f>
        <v/>
      </c>
      <c r="AA70" s="127" t="str">
        <f ca="1">IF(Z70&lt;&gt;"",IF(ISNA(VLOOKUP($N70,OFFSET(選手情報!$A$6:$M$119,Z70,0),13,FALSE)),"","/"&amp;VLOOKUP($N70,OFFSET(選手情報!$A$6:$M$119,Z70,0),13,FALSE)),"")</f>
        <v/>
      </c>
      <c r="AB70" s="127" t="str">
        <f ca="1">IF(Z70&lt;&gt;"",IF(ISNA(VLOOKUP($N70,OFFSET(選手情報!$A$6:$BD$119,Z70,0),56,FALSE)),"",VLOOKUP($N70,OFFSET(選手情報!$A$6:$BD$119,Z70,0),56,FALSE)),"")</f>
        <v/>
      </c>
      <c r="AC70" s="127" t="str">
        <f ca="1">IF(AB70&lt;&gt;"",IF(ISNA(VLOOKUP($N70,OFFSET(選手情報!$A$6:$M$119,AB70,0),13,FALSE)),"","/"&amp;VLOOKUP($N70,OFFSET(選手情報!$A$6:$M$119,AB70,0),13,FALSE)),"")</f>
        <v/>
      </c>
      <c r="AD70" s="127" t="str">
        <f ca="1">IF(AB70&lt;&gt;"",IF(ISNA(VLOOKUP($N70,OFFSET(選手情報!$A$6:$BD$119,AB70,0),56,FALSE)),"",VLOOKUP($N70,OFFSET(選手情報!$A$6:$BD$119,AB70,0),56,FALSE)),"")</f>
        <v/>
      </c>
      <c r="AE70" s="127" t="str">
        <f ca="1">IF(AD70&lt;&gt;"",IF(ISNA(VLOOKUP($N70,OFFSET(選手情報!$A$6:$M$119,AD70,0),13,FALSE)),"","/"&amp;VLOOKUP($N70,OFFSET(選手情報!$A$6:$M$119,AD70,0),13,FALSE)),"")</f>
        <v/>
      </c>
      <c r="AF70" s="127" t="str">
        <f ca="1">IF(AD70&lt;&gt;"",IF(ISNA(VLOOKUP($N70,OFFSET(選手情報!$A$6:$BD$119,AD70,0),56,FALSE)),"",VLOOKUP($N70,OFFSET(選手情報!$A$6:$BD$119,AD70,0),56,FALSE)),"")</f>
        <v/>
      </c>
      <c r="AG70" s="127" t="str">
        <f ca="1">IF(AF70&lt;&gt;"",IF(ISNA(VLOOKUP($N70,OFFSET(選手情報!$A$6:$M$119,AF70,0),13,FALSE)),"","/"&amp;VLOOKUP($N70,OFFSET(選手情報!$A$6:$M$119,AF70,0),13,FALSE)),"")</f>
        <v/>
      </c>
      <c r="AH70" s="127" t="str">
        <f ca="1">IF(AF70&lt;&gt;"",IF(ISNA(VLOOKUP($N70,OFFSET(選手情報!$A$6:$BD$119,AF70,0),56,FALSE)),"",VLOOKUP($N70,OFFSET(選手情報!$A$6:$BD$119,AF70,0),56,FALSE)),"")</f>
        <v/>
      </c>
      <c r="AI70" s="127" t="str">
        <f ca="1">IF(AH70&lt;&gt;"",IF(ISNA(VLOOKUP($N70,OFFSET(選手情報!$A$6:$M$119,AH70,0),13,FALSE)),"","/"&amp;VLOOKUP($N70,OFFSET(選手情報!$A$6:$M$119,AH70,0),13,FALSE)),"")</f>
        <v/>
      </c>
      <c r="AJ70" s="127" t="str">
        <f ca="1">IF(AH70&lt;&gt;"",IF(ISNA(VLOOKUP($N70,OFFSET(選手情報!$A$6:$BD$119,AH70,0),56,FALSE)),"",VLOOKUP($N70,OFFSET(選手情報!$A$6:$BD$119,AH70,0),56,FALSE)),"")</f>
        <v/>
      </c>
      <c r="AK70" s="127" t="str">
        <f ca="1">IF(AJ70&lt;&gt;"",IF(ISNA(VLOOKUP($N70,OFFSET(選手情報!$A$6:$M$119,AJ70,0),13,FALSE)),"","/"&amp;VLOOKUP($N70,OFFSET(選手情報!$A$6:$M$119,AJ70,0),13,FALSE)),"")</f>
        <v/>
      </c>
      <c r="AL70" s="127" t="str">
        <f ca="1">IF(AJ70&lt;&gt;"",IF(ISNA(VLOOKUP($N70,OFFSET(選手情報!$A$6:$BD$119,AJ70,0),56,FALSE)),"",VLOOKUP($N70,OFFSET(選手情報!$A$6:$BD$119,AJ70,0),56,FALSE)),"")</f>
        <v/>
      </c>
      <c r="AM70" s="127" t="str">
        <f ca="1">IF(AL70&lt;&gt;"",IF(ISNA(VLOOKUP($N70,OFFSET(選手情報!$A$6:$M$119,AL70,0),13,FALSE)),"","/"&amp;VLOOKUP($N70,OFFSET(選手情報!$A$6:$M$119,AL70,0),13,FALSE)),"")</f>
        <v/>
      </c>
      <c r="AN70" s="127" t="str">
        <f ca="1">IF(AL70&lt;&gt;"",IF(ISNA(VLOOKUP($N70,OFFSET(選手情報!$A$6:$BD$119,AL70,0),56,FALSE)),"",VLOOKUP($N70,OFFSET(選手情報!$A$6:$BD$119,AL70,0),56,FALSE)),"")</f>
        <v/>
      </c>
      <c r="AO70" s="127" t="str">
        <f ca="1">IF(AN70&lt;&gt;"",IF(ISNA(VLOOKUP($N70,OFFSET(選手情報!$A$6:$M$119,AN70,0),13,FALSE)),"","/"&amp;VLOOKUP($N70,OFFSET(選手情報!$A$6:$M$119,AN70,0),13,FALSE)),"")</f>
        <v/>
      </c>
      <c r="AP70" s="127" t="str">
        <f ca="1">IF(AN70&lt;&gt;"",IF(ISNA(VLOOKUP($N70,OFFSET(選手情報!$A$6:$BD$119,AN70,0),56,FALSE)),"",VLOOKUP($N70,OFFSET(選手情報!$A$6:$BD$119,AN70,0),56,FALSE)),"")</f>
        <v/>
      </c>
      <c r="AQ70" s="127" t="str">
        <f ca="1">IF(AP70&lt;&gt;"",IF(ISNA(VLOOKUP($N70,OFFSET(選手情報!$A$6:$M$119,AP70,0),13,FALSE)),"","/"&amp;VLOOKUP($N70,OFFSET(選手情報!$A$6:$M$119,AP70,0),13,FALSE)),"")</f>
        <v/>
      </c>
      <c r="AR70" s="127" t="str">
        <f ca="1">IF(AP70&lt;&gt;"",IF(ISNA(VLOOKUP($N70,OFFSET(選手情報!$A$6:$BD$119,AP70,0),56,FALSE)),"",VLOOKUP($N70,OFFSET(選手情報!$A$6:$BD$119,AP70,0),56,FALSE)),"")</f>
        <v/>
      </c>
      <c r="AS70" s="127" t="str">
        <f ca="1">IF(AR70&lt;&gt;"",IF(ISNA(VLOOKUP($N70,OFFSET(選手情報!$A$6:$M$119,AR70,0),13,FALSE)),"","/"&amp;VLOOKUP($N70,OFFSET(選手情報!$A$6:$M$119,AR70,0),13,FALSE)),"")</f>
        <v/>
      </c>
      <c r="AT70" s="127" t="str">
        <f ca="1">IF(AR70&lt;&gt;"",IF(ISNA(VLOOKUP($N70,OFFSET(選手情報!$A$6:$BD$119,AR70,0),56,FALSE)),"",VLOOKUP($N70,OFFSET(選手情報!$A$6:$BD$119,AR70,0),56,FALSE)),"")</f>
        <v/>
      </c>
      <c r="AU70" s="127" t="str">
        <f ca="1">IF(AT70&lt;&gt;"",IF(ISNA(VLOOKUP($N70,OFFSET(選手情報!$A$6:$M$119,AT70,0),13,FALSE)),"","/"&amp;VLOOKUP($N70,OFFSET(選手情報!$A$6:$M$119,AT70,0),13,FALSE)),"")</f>
        <v/>
      </c>
      <c r="AV70" s="127" t="str">
        <f ca="1">IF(AT70&lt;&gt;"",IF(ISNA(VLOOKUP($N70,OFFSET(選手情報!$A$6:$BD$119,AT70,0),56,FALSE)),"",VLOOKUP($N70,OFFSET(選手情報!$A$6:$BD$119,AT70,0),56,FALSE)),"")</f>
        <v/>
      </c>
      <c r="AW70" s="127" t="str">
        <f ca="1">IF(AV70&lt;&gt;"",IF(ISNA(VLOOKUP($N70,OFFSET(選手情報!$A$6:$M$119,AV70,0),13,FALSE)),"","/"&amp;VLOOKUP($N70,OFFSET(選手情報!$A$6:$M$119,AV70,0),13,FALSE)),"")</f>
        <v/>
      </c>
      <c r="AX70" s="127" t="str">
        <f ca="1">IF(AV70&lt;&gt;"",IF(ISNA(VLOOKUP($N70,OFFSET(選手情報!$A$6:$BD$119,AV70,0),56,FALSE)),"",VLOOKUP($N70,OFFSET(選手情報!$A$6:$BD$119,AV70,0),56,FALSE)),"")</f>
        <v/>
      </c>
      <c r="AY70" s="127" t="str">
        <f ca="1">IF(AX70&lt;&gt;"",IF(ISNA(VLOOKUP($N70,OFFSET(選手情報!$A$6:$M$119,AX70,0),13,FALSE)),"","/"&amp;VLOOKUP($N70,OFFSET(選手情報!$A$6:$M$119,AX70,0),13,FALSE)),"")</f>
        <v/>
      </c>
      <c r="AZ70" s="127" t="str">
        <f ca="1">IF(AX70&lt;&gt;"",IF(ISNA(VLOOKUP($N70,OFFSET(選手情報!$A$6:$BD$119,AX70,0),56,FALSE)),"",VLOOKUP($N70,OFFSET(選手情報!$A$6:$BD$119,AX70,0),56,FALSE)),"")</f>
        <v/>
      </c>
      <c r="BA70" s="127" t="str">
        <f ca="1">IF(AZ70&lt;&gt;"",IF(ISNA(VLOOKUP($N70,OFFSET(選手情報!$A$6:$M$119,AZ70,0),13,FALSE)),"","/"&amp;VLOOKUP($N70,OFFSET(選手情報!$A$6:$M$119,AZ70,0),13,FALSE)),"")</f>
        <v/>
      </c>
      <c r="BB70" s="127" t="str">
        <f ca="1">IF(AZ70&lt;&gt;"",IF(ISNA(VLOOKUP($N70,OFFSET(選手情報!$A$6:$BD$119,AZ70,0),56,FALSE)),"",VLOOKUP($N70,OFFSET(選手情報!$A$6:$BD$119,AZ70,0),56,FALSE)),"")</f>
        <v/>
      </c>
      <c r="BC70" s="127" t="str">
        <f ca="1">IF(BB70&lt;&gt;"",IF(ISNA(VLOOKUP($N70,OFFSET(選手情報!$A$6:$M$119,BB70,0),13,FALSE)),"","/"&amp;VLOOKUP($N70,OFFSET(選手情報!$A$6:$M$119,BB70,0),13,FALSE)),"")</f>
        <v/>
      </c>
      <c r="BD70" s="127" t="str">
        <f ca="1">IF(BB70&lt;&gt;"",IF(ISNA(VLOOKUP($N70,OFFSET(選手情報!$A$6:$BD$119,BB70,0),56,FALSE)),"",VLOOKUP($N70,OFFSET(選手情報!$A$6:$BD$119,BB70,0),56,FALSE)),"")</f>
        <v/>
      </c>
      <c r="BE70" s="127" t="str">
        <f ca="1">IF(BD70&lt;&gt;"",IF(ISNA(VLOOKUP($N70,OFFSET(選手情報!$A$6:$M$119,BD70,0),13,FALSE)),"","/"&amp;VLOOKUP($N70,OFFSET(選手情報!$A$6:$M$119,BD70,0),13,FALSE)),"")</f>
        <v/>
      </c>
      <c r="BF70" s="127" t="str">
        <f ca="1">IF(BD70&lt;&gt;"",IF(ISNA(VLOOKUP($N70,OFFSET(選手情報!$A$6:$BD$119,BD70,0),56,FALSE)),"",VLOOKUP($N70,OFFSET(選手情報!$A$6:$BD$119,BD70,0),56,FALSE)),"")</f>
        <v/>
      </c>
      <c r="BG70" s="127" t="str">
        <f ca="1">IF(BF70&lt;&gt;"",IF(ISNA(VLOOKUP($N70,OFFSET(選手情報!$A$6:$M$119,BF70,0),13,FALSE)),"","/"&amp;VLOOKUP($N70,OFFSET(選手情報!$A$6:$M$119,BF70,0),13,FALSE)),"")</f>
        <v/>
      </c>
      <c r="BH70" s="127" t="str">
        <f ca="1">IF(BF70&lt;&gt;"",IF(ISNA(VLOOKUP($N70,OFFSET(選手情報!$A$6:$BD$119,BF70,0),56,FALSE)),"",VLOOKUP($N70,OFFSET(選手情報!$A$6:$BD$119,BF70,0),56,FALSE)),"")</f>
        <v/>
      </c>
      <c r="BI70" s="127" t="str">
        <f ca="1">IF(BH70&lt;&gt;"",IF(ISNA(VLOOKUP($N70,OFFSET(選手情報!$A$6:$M$119,BH70,0),13,FALSE)),"","/"&amp;VLOOKUP($N70,OFFSET(選手情報!$A$6:$M$119,BH70,0),13,FALSE)),"")</f>
        <v/>
      </c>
    </row>
    <row r="71" spans="1:61" s="127" customFormat="1" ht="12.6" customHeight="1">
      <c r="A71" s="128" t="str">
        <f>IF(ISNA(VLOOKUP($C$2&amp;N71,選手データ!A:H,3,FALSE)),"",IF(M71&lt;&gt;M70,VLOOKUP($C$2&amp;N71,選手データ!A:H,3,FALSE),""))</f>
        <v/>
      </c>
      <c r="B71" s="129" t="str">
        <f>IF(A71&lt;&gt;"",VLOOKUP($C$2&amp;N71,選手データ!A:H,4,FALSE),"")</f>
        <v/>
      </c>
      <c r="C71" s="129" t="str">
        <f>IF(A71&lt;&gt;"",VLOOKUP($C$2&amp;N71,選手データ!A:H,5,FALSE),"")</f>
        <v/>
      </c>
      <c r="D71" s="129" t="str">
        <f>IF(A71&lt;&gt;"",VLOOKUP($C$2&amp;N71,選手データ!A:H,6,FALSE),"")</f>
        <v/>
      </c>
      <c r="E71" s="129" t="str">
        <f>IF(A71&lt;&gt;"",VLOOKUP($C$2&amp;N71,選手データ!A:H,7,FALSE),"")</f>
        <v/>
      </c>
      <c r="F71" s="130" t="str">
        <f>IF(A71&lt;&gt;"",VLOOKUP($C$2&amp;N71,選手データ!A:H,8,FALSE),"")</f>
        <v/>
      </c>
      <c r="G71" s="130" t="str">
        <f>IF(F71&lt;&gt;"",IF(DATEDIF(F71,設定!$B$12,"Y")&lt;20,"〇",""),"")</f>
        <v/>
      </c>
      <c r="H71" s="131" t="str">
        <f t="shared" ca="1" si="0"/>
        <v/>
      </c>
      <c r="I71" s="132" t="str">
        <f t="shared" ca="1" si="1"/>
        <v/>
      </c>
      <c r="J71" s="131" t="str">
        <f t="shared" ca="1" si="2"/>
        <v/>
      </c>
      <c r="K71" s="130" t="str">
        <f>IF(A71&lt;&gt;"",IF(COUNTIF(リレーチーム情報!$B$5:$B$10,A71&amp;E71)=1,"〇",""),"")</f>
        <v/>
      </c>
      <c r="L71" s="133" t="str">
        <f>IF(A71&lt;&gt;"",IF(COUNTIF(リレーチーム情報!$B$11:$B$16,A71&amp;E71)=1,"〇",""),"")</f>
        <v/>
      </c>
      <c r="M71" s="127">
        <f>IF(学校情報!$A$4&lt;&gt;"",0,IF(S70=0,MAX($M$37:M70)+1,M70))</f>
        <v>0</v>
      </c>
      <c r="N71" s="127" t="str">
        <f>IF(M71&lt;&gt;0,VLOOKUP(M71,選手情報!BF:BG,2,FALSE),"")</f>
        <v/>
      </c>
      <c r="O71" s="127" t="str">
        <f ca="1">IF(M71&lt;&gt;0,VLOOKUP(N71,OFFSET(選手情報!$A$6:$W$119,IF(M71&lt;&gt;M70,0,R70),0),13,FALSE),"")</f>
        <v/>
      </c>
      <c r="P71" s="127" t="str">
        <f ca="1">IF(M71&lt;&gt;0,VLOOKUP(N71,OFFSET(選手情報!$A$6:$W$119,IF(M71&lt;&gt;M70,0,R70),0),16,FALSE),"")</f>
        <v/>
      </c>
      <c r="Q71" s="127" t="str">
        <f ca="1">IF(M71&lt;&gt;0,VLOOKUP(N71,OFFSET(選手情報!$A$6:$W$119,IF(M71&lt;&gt;M70,0,R70),0),21,FALSE),"")</f>
        <v/>
      </c>
      <c r="R71" s="127">
        <f ca="1">IF(M71&lt;&gt;0,VLOOKUP(N71,OFFSET(選手情報!$A$6:$BD$119,IF(M71&lt;&gt;M70,0,R70),0),56,FALSE),0)</f>
        <v>0</v>
      </c>
      <c r="S71" s="127">
        <f ca="1">IF(M71&lt;&gt;0,IF(ISNA(R71),0,COUNTIF(OFFSET(選手情報!$A$6:$A$119,R71,0),N71)),0)</f>
        <v>0</v>
      </c>
      <c r="U71" s="127">
        <f t="shared" si="3"/>
        <v>0</v>
      </c>
      <c r="V71" s="127">
        <f t="shared" ca="1" si="4"/>
        <v>1</v>
      </c>
      <c r="W71" s="127">
        <f t="shared" ca="1" si="5"/>
        <v>0</v>
      </c>
      <c r="X71" s="127" t="str">
        <f t="shared" ca="1" si="6"/>
        <v/>
      </c>
      <c r="Y71" s="127" t="str">
        <f>IF($A71&lt;&gt;"",IF(ISNA(VLOOKUP($N71,選手情報!$A$6:$M$119,13,FALSE)),"","/"&amp;VLOOKUP($N71,選手情報!$A$6:$M$119,13,FALSE)),"")</f>
        <v/>
      </c>
      <c r="Z71" s="127" t="str">
        <f ca="1">IF(Y71&lt;&gt;"",IF(ISNA(VLOOKUP($N71,OFFSET(選手情報!$A$6:$BD$119,0,0),56,FALSE)),"",VLOOKUP($N71,OFFSET(選手情報!$A$6:$BD$119,0,0),56,FALSE)),"")</f>
        <v/>
      </c>
      <c r="AA71" s="127" t="str">
        <f ca="1">IF(Z71&lt;&gt;"",IF(ISNA(VLOOKUP($N71,OFFSET(選手情報!$A$6:$M$119,Z71,0),13,FALSE)),"","/"&amp;VLOOKUP($N71,OFFSET(選手情報!$A$6:$M$119,Z71,0),13,FALSE)),"")</f>
        <v/>
      </c>
      <c r="AB71" s="127" t="str">
        <f ca="1">IF(Z71&lt;&gt;"",IF(ISNA(VLOOKUP($N71,OFFSET(選手情報!$A$6:$BD$119,Z71,0),56,FALSE)),"",VLOOKUP($N71,OFFSET(選手情報!$A$6:$BD$119,Z71,0),56,FALSE)),"")</f>
        <v/>
      </c>
      <c r="AC71" s="127" t="str">
        <f ca="1">IF(AB71&lt;&gt;"",IF(ISNA(VLOOKUP($N71,OFFSET(選手情報!$A$6:$M$119,AB71,0),13,FALSE)),"","/"&amp;VLOOKUP($N71,OFFSET(選手情報!$A$6:$M$119,AB71,0),13,FALSE)),"")</f>
        <v/>
      </c>
      <c r="AD71" s="127" t="str">
        <f ca="1">IF(AB71&lt;&gt;"",IF(ISNA(VLOOKUP($N71,OFFSET(選手情報!$A$6:$BD$119,AB71,0),56,FALSE)),"",VLOOKUP($N71,OFFSET(選手情報!$A$6:$BD$119,AB71,0),56,FALSE)),"")</f>
        <v/>
      </c>
      <c r="AE71" s="127" t="str">
        <f ca="1">IF(AD71&lt;&gt;"",IF(ISNA(VLOOKUP($N71,OFFSET(選手情報!$A$6:$M$119,AD71,0),13,FALSE)),"","/"&amp;VLOOKUP($N71,OFFSET(選手情報!$A$6:$M$119,AD71,0),13,FALSE)),"")</f>
        <v/>
      </c>
      <c r="AF71" s="127" t="str">
        <f ca="1">IF(AD71&lt;&gt;"",IF(ISNA(VLOOKUP($N71,OFFSET(選手情報!$A$6:$BD$119,AD71,0),56,FALSE)),"",VLOOKUP($N71,OFFSET(選手情報!$A$6:$BD$119,AD71,0),56,FALSE)),"")</f>
        <v/>
      </c>
      <c r="AG71" s="127" t="str">
        <f ca="1">IF(AF71&lt;&gt;"",IF(ISNA(VLOOKUP($N71,OFFSET(選手情報!$A$6:$M$119,AF71,0),13,FALSE)),"","/"&amp;VLOOKUP($N71,OFFSET(選手情報!$A$6:$M$119,AF71,0),13,FALSE)),"")</f>
        <v/>
      </c>
      <c r="AH71" s="127" t="str">
        <f ca="1">IF(AF71&lt;&gt;"",IF(ISNA(VLOOKUP($N71,OFFSET(選手情報!$A$6:$BD$119,AF71,0),56,FALSE)),"",VLOOKUP($N71,OFFSET(選手情報!$A$6:$BD$119,AF71,0),56,FALSE)),"")</f>
        <v/>
      </c>
      <c r="AI71" s="127" t="str">
        <f ca="1">IF(AH71&lt;&gt;"",IF(ISNA(VLOOKUP($N71,OFFSET(選手情報!$A$6:$M$119,AH71,0),13,FALSE)),"","/"&amp;VLOOKUP($N71,OFFSET(選手情報!$A$6:$M$119,AH71,0),13,FALSE)),"")</f>
        <v/>
      </c>
      <c r="AJ71" s="127" t="str">
        <f ca="1">IF(AH71&lt;&gt;"",IF(ISNA(VLOOKUP($N71,OFFSET(選手情報!$A$6:$BD$119,AH71,0),56,FALSE)),"",VLOOKUP($N71,OFFSET(選手情報!$A$6:$BD$119,AH71,0),56,FALSE)),"")</f>
        <v/>
      </c>
      <c r="AK71" s="127" t="str">
        <f ca="1">IF(AJ71&lt;&gt;"",IF(ISNA(VLOOKUP($N71,OFFSET(選手情報!$A$6:$M$119,AJ71,0),13,FALSE)),"","/"&amp;VLOOKUP($N71,OFFSET(選手情報!$A$6:$M$119,AJ71,0),13,FALSE)),"")</f>
        <v/>
      </c>
      <c r="AL71" s="127" t="str">
        <f ca="1">IF(AJ71&lt;&gt;"",IF(ISNA(VLOOKUP($N71,OFFSET(選手情報!$A$6:$BD$119,AJ71,0),56,FALSE)),"",VLOOKUP($N71,OFFSET(選手情報!$A$6:$BD$119,AJ71,0),56,FALSE)),"")</f>
        <v/>
      </c>
      <c r="AM71" s="127" t="str">
        <f ca="1">IF(AL71&lt;&gt;"",IF(ISNA(VLOOKUP($N71,OFFSET(選手情報!$A$6:$M$119,AL71,0),13,FALSE)),"","/"&amp;VLOOKUP($N71,OFFSET(選手情報!$A$6:$M$119,AL71,0),13,FALSE)),"")</f>
        <v/>
      </c>
      <c r="AN71" s="127" t="str">
        <f ca="1">IF(AL71&lt;&gt;"",IF(ISNA(VLOOKUP($N71,OFFSET(選手情報!$A$6:$BD$119,AL71,0),56,FALSE)),"",VLOOKUP($N71,OFFSET(選手情報!$A$6:$BD$119,AL71,0),56,FALSE)),"")</f>
        <v/>
      </c>
      <c r="AO71" s="127" t="str">
        <f ca="1">IF(AN71&lt;&gt;"",IF(ISNA(VLOOKUP($N71,OFFSET(選手情報!$A$6:$M$119,AN71,0),13,FALSE)),"","/"&amp;VLOOKUP($N71,OFFSET(選手情報!$A$6:$M$119,AN71,0),13,FALSE)),"")</f>
        <v/>
      </c>
      <c r="AP71" s="127" t="str">
        <f ca="1">IF(AN71&lt;&gt;"",IF(ISNA(VLOOKUP($N71,OFFSET(選手情報!$A$6:$BD$119,AN71,0),56,FALSE)),"",VLOOKUP($N71,OFFSET(選手情報!$A$6:$BD$119,AN71,0),56,FALSE)),"")</f>
        <v/>
      </c>
      <c r="AQ71" s="127" t="str">
        <f ca="1">IF(AP71&lt;&gt;"",IF(ISNA(VLOOKUP($N71,OFFSET(選手情報!$A$6:$M$119,AP71,0),13,FALSE)),"","/"&amp;VLOOKUP($N71,OFFSET(選手情報!$A$6:$M$119,AP71,0),13,FALSE)),"")</f>
        <v/>
      </c>
      <c r="AR71" s="127" t="str">
        <f ca="1">IF(AP71&lt;&gt;"",IF(ISNA(VLOOKUP($N71,OFFSET(選手情報!$A$6:$BD$119,AP71,0),56,FALSE)),"",VLOOKUP($N71,OFFSET(選手情報!$A$6:$BD$119,AP71,0),56,FALSE)),"")</f>
        <v/>
      </c>
      <c r="AS71" s="127" t="str">
        <f ca="1">IF(AR71&lt;&gt;"",IF(ISNA(VLOOKUP($N71,OFFSET(選手情報!$A$6:$M$119,AR71,0),13,FALSE)),"","/"&amp;VLOOKUP($N71,OFFSET(選手情報!$A$6:$M$119,AR71,0),13,FALSE)),"")</f>
        <v/>
      </c>
      <c r="AT71" s="127" t="str">
        <f ca="1">IF(AR71&lt;&gt;"",IF(ISNA(VLOOKUP($N71,OFFSET(選手情報!$A$6:$BD$119,AR71,0),56,FALSE)),"",VLOOKUP($N71,OFFSET(選手情報!$A$6:$BD$119,AR71,0),56,FALSE)),"")</f>
        <v/>
      </c>
      <c r="AU71" s="127" t="str">
        <f ca="1">IF(AT71&lt;&gt;"",IF(ISNA(VLOOKUP($N71,OFFSET(選手情報!$A$6:$M$119,AT71,0),13,FALSE)),"","/"&amp;VLOOKUP($N71,OFFSET(選手情報!$A$6:$M$119,AT71,0),13,FALSE)),"")</f>
        <v/>
      </c>
      <c r="AV71" s="127" t="str">
        <f ca="1">IF(AT71&lt;&gt;"",IF(ISNA(VLOOKUP($N71,OFFSET(選手情報!$A$6:$BD$119,AT71,0),56,FALSE)),"",VLOOKUP($N71,OFFSET(選手情報!$A$6:$BD$119,AT71,0),56,FALSE)),"")</f>
        <v/>
      </c>
      <c r="AW71" s="127" t="str">
        <f ca="1">IF(AV71&lt;&gt;"",IF(ISNA(VLOOKUP($N71,OFFSET(選手情報!$A$6:$M$119,AV71,0),13,FALSE)),"","/"&amp;VLOOKUP($N71,OFFSET(選手情報!$A$6:$M$119,AV71,0),13,FALSE)),"")</f>
        <v/>
      </c>
      <c r="AX71" s="127" t="str">
        <f ca="1">IF(AV71&lt;&gt;"",IF(ISNA(VLOOKUP($N71,OFFSET(選手情報!$A$6:$BD$119,AV71,0),56,FALSE)),"",VLOOKUP($N71,OFFSET(選手情報!$A$6:$BD$119,AV71,0),56,FALSE)),"")</f>
        <v/>
      </c>
      <c r="AY71" s="127" t="str">
        <f ca="1">IF(AX71&lt;&gt;"",IF(ISNA(VLOOKUP($N71,OFFSET(選手情報!$A$6:$M$119,AX71,0),13,FALSE)),"","/"&amp;VLOOKUP($N71,OFFSET(選手情報!$A$6:$M$119,AX71,0),13,FALSE)),"")</f>
        <v/>
      </c>
      <c r="AZ71" s="127" t="str">
        <f ca="1">IF(AX71&lt;&gt;"",IF(ISNA(VLOOKUP($N71,OFFSET(選手情報!$A$6:$BD$119,AX71,0),56,FALSE)),"",VLOOKUP($N71,OFFSET(選手情報!$A$6:$BD$119,AX71,0),56,FALSE)),"")</f>
        <v/>
      </c>
      <c r="BA71" s="127" t="str">
        <f ca="1">IF(AZ71&lt;&gt;"",IF(ISNA(VLOOKUP($N71,OFFSET(選手情報!$A$6:$M$119,AZ71,0),13,FALSE)),"","/"&amp;VLOOKUP($N71,OFFSET(選手情報!$A$6:$M$119,AZ71,0),13,FALSE)),"")</f>
        <v/>
      </c>
      <c r="BB71" s="127" t="str">
        <f ca="1">IF(AZ71&lt;&gt;"",IF(ISNA(VLOOKUP($N71,OFFSET(選手情報!$A$6:$BD$119,AZ71,0),56,FALSE)),"",VLOOKUP($N71,OFFSET(選手情報!$A$6:$BD$119,AZ71,0),56,FALSE)),"")</f>
        <v/>
      </c>
      <c r="BC71" s="127" t="str">
        <f ca="1">IF(BB71&lt;&gt;"",IF(ISNA(VLOOKUP($N71,OFFSET(選手情報!$A$6:$M$119,BB71,0),13,FALSE)),"","/"&amp;VLOOKUP($N71,OFFSET(選手情報!$A$6:$M$119,BB71,0),13,FALSE)),"")</f>
        <v/>
      </c>
      <c r="BD71" s="127" t="str">
        <f ca="1">IF(BB71&lt;&gt;"",IF(ISNA(VLOOKUP($N71,OFFSET(選手情報!$A$6:$BD$119,BB71,0),56,FALSE)),"",VLOOKUP($N71,OFFSET(選手情報!$A$6:$BD$119,BB71,0),56,FALSE)),"")</f>
        <v/>
      </c>
      <c r="BE71" s="127" t="str">
        <f ca="1">IF(BD71&lt;&gt;"",IF(ISNA(VLOOKUP($N71,OFFSET(選手情報!$A$6:$M$119,BD71,0),13,FALSE)),"","/"&amp;VLOOKUP($N71,OFFSET(選手情報!$A$6:$M$119,BD71,0),13,FALSE)),"")</f>
        <v/>
      </c>
      <c r="BF71" s="127" t="str">
        <f ca="1">IF(BD71&lt;&gt;"",IF(ISNA(VLOOKUP($N71,OFFSET(選手情報!$A$6:$BD$119,BD71,0),56,FALSE)),"",VLOOKUP($N71,OFFSET(選手情報!$A$6:$BD$119,BD71,0),56,FALSE)),"")</f>
        <v/>
      </c>
      <c r="BG71" s="127" t="str">
        <f ca="1">IF(BF71&lt;&gt;"",IF(ISNA(VLOOKUP($N71,OFFSET(選手情報!$A$6:$M$119,BF71,0),13,FALSE)),"","/"&amp;VLOOKUP($N71,OFFSET(選手情報!$A$6:$M$119,BF71,0),13,FALSE)),"")</f>
        <v/>
      </c>
      <c r="BH71" s="127" t="str">
        <f ca="1">IF(BF71&lt;&gt;"",IF(ISNA(VLOOKUP($N71,OFFSET(選手情報!$A$6:$BD$119,BF71,0),56,FALSE)),"",VLOOKUP($N71,OFFSET(選手情報!$A$6:$BD$119,BF71,0),56,FALSE)),"")</f>
        <v/>
      </c>
      <c r="BI71" s="127" t="str">
        <f ca="1">IF(BH71&lt;&gt;"",IF(ISNA(VLOOKUP($N71,OFFSET(選手情報!$A$6:$M$119,BH71,0),13,FALSE)),"","/"&amp;VLOOKUP($N71,OFFSET(選手情報!$A$6:$M$119,BH71,0),13,FALSE)),"")</f>
        <v/>
      </c>
    </row>
    <row r="72" spans="1:61" s="127" customFormat="1" ht="12.6" customHeight="1">
      <c r="A72" s="128" t="str">
        <f>IF(ISNA(VLOOKUP($C$2&amp;N72,選手データ!A:H,3,FALSE)),"",IF(M72&lt;&gt;M71,VLOOKUP($C$2&amp;N72,選手データ!A:H,3,FALSE),""))</f>
        <v/>
      </c>
      <c r="B72" s="129" t="str">
        <f>IF(A72&lt;&gt;"",VLOOKUP($C$2&amp;N72,選手データ!A:H,4,FALSE),"")</f>
        <v/>
      </c>
      <c r="C72" s="129" t="str">
        <f>IF(A72&lt;&gt;"",VLOOKUP($C$2&amp;N72,選手データ!A:H,5,FALSE),"")</f>
        <v/>
      </c>
      <c r="D72" s="129" t="str">
        <f>IF(A72&lt;&gt;"",VLOOKUP($C$2&amp;N72,選手データ!A:H,6,FALSE),"")</f>
        <v/>
      </c>
      <c r="E72" s="129" t="str">
        <f>IF(A72&lt;&gt;"",VLOOKUP($C$2&amp;N72,選手データ!A:H,7,FALSE),"")</f>
        <v/>
      </c>
      <c r="F72" s="130" t="str">
        <f>IF(A72&lt;&gt;"",VLOOKUP($C$2&amp;N72,選手データ!A:H,8,FALSE),"")</f>
        <v/>
      </c>
      <c r="G72" s="130" t="str">
        <f>IF(F72&lt;&gt;"",IF(DATEDIF(F72,設定!$B$12,"Y")&lt;20,"〇",""),"")</f>
        <v/>
      </c>
      <c r="H72" s="131" t="str">
        <f t="shared" ca="1" si="0"/>
        <v/>
      </c>
      <c r="I72" s="132" t="str">
        <f t="shared" ca="1" si="1"/>
        <v/>
      </c>
      <c r="J72" s="131" t="str">
        <f t="shared" ca="1" si="2"/>
        <v/>
      </c>
      <c r="K72" s="130" t="str">
        <f>IF(A72&lt;&gt;"",IF(COUNTIF(リレーチーム情報!$B$5:$B$10,A72&amp;E72)=1,"〇",""),"")</f>
        <v/>
      </c>
      <c r="L72" s="133" t="str">
        <f>IF(A72&lt;&gt;"",IF(COUNTIF(リレーチーム情報!$B$11:$B$16,A72&amp;E72)=1,"〇",""),"")</f>
        <v/>
      </c>
      <c r="M72" s="127">
        <f>IF(学校情報!$A$4&lt;&gt;"",0,IF(S71=0,MAX($M$37:M71)+1,M71))</f>
        <v>0</v>
      </c>
      <c r="N72" s="127" t="str">
        <f>IF(M72&lt;&gt;0,VLOOKUP(M72,選手情報!BF:BG,2,FALSE),"")</f>
        <v/>
      </c>
      <c r="O72" s="127" t="str">
        <f ca="1">IF(M72&lt;&gt;0,VLOOKUP(N72,OFFSET(選手情報!$A$6:$W$119,IF(M72&lt;&gt;M71,0,R71),0),13,FALSE),"")</f>
        <v/>
      </c>
      <c r="P72" s="127" t="str">
        <f ca="1">IF(M72&lt;&gt;0,VLOOKUP(N72,OFFSET(選手情報!$A$6:$W$119,IF(M72&lt;&gt;M71,0,R71),0),16,FALSE),"")</f>
        <v/>
      </c>
      <c r="Q72" s="127" t="str">
        <f ca="1">IF(M72&lt;&gt;0,VLOOKUP(N72,OFFSET(選手情報!$A$6:$W$119,IF(M72&lt;&gt;M71,0,R71),0),21,FALSE),"")</f>
        <v/>
      </c>
      <c r="R72" s="127">
        <f ca="1">IF(M72&lt;&gt;0,VLOOKUP(N72,OFFSET(選手情報!$A$6:$BD$119,IF(M72&lt;&gt;M71,0,R71),0),56,FALSE),0)</f>
        <v>0</v>
      </c>
      <c r="S72" s="127">
        <f ca="1">IF(M72&lt;&gt;0,IF(ISNA(R72),0,COUNTIF(OFFSET(選手情報!$A$6:$A$119,R72,0),N72)),0)</f>
        <v>0</v>
      </c>
      <c r="U72" s="127">
        <f t="shared" si="3"/>
        <v>0</v>
      </c>
      <c r="V72" s="127">
        <f t="shared" ca="1" si="4"/>
        <v>1</v>
      </c>
      <c r="W72" s="127">
        <f t="shared" ca="1" si="5"/>
        <v>0</v>
      </c>
      <c r="X72" s="127" t="str">
        <f t="shared" ca="1" si="6"/>
        <v/>
      </c>
      <c r="Y72" s="127" t="str">
        <f>IF($A72&lt;&gt;"",IF(ISNA(VLOOKUP($N72,選手情報!$A$6:$M$119,13,FALSE)),"","/"&amp;VLOOKUP($N72,選手情報!$A$6:$M$119,13,FALSE)),"")</f>
        <v/>
      </c>
      <c r="Z72" s="127" t="str">
        <f ca="1">IF(Y72&lt;&gt;"",IF(ISNA(VLOOKUP($N72,OFFSET(選手情報!$A$6:$BD$119,0,0),56,FALSE)),"",VLOOKUP($N72,OFFSET(選手情報!$A$6:$BD$119,0,0),56,FALSE)),"")</f>
        <v/>
      </c>
      <c r="AA72" s="127" t="str">
        <f ca="1">IF(Z72&lt;&gt;"",IF(ISNA(VLOOKUP($N72,OFFSET(選手情報!$A$6:$M$119,Z72,0),13,FALSE)),"","/"&amp;VLOOKUP($N72,OFFSET(選手情報!$A$6:$M$119,Z72,0),13,FALSE)),"")</f>
        <v/>
      </c>
      <c r="AB72" s="127" t="str">
        <f ca="1">IF(Z72&lt;&gt;"",IF(ISNA(VLOOKUP($N72,OFFSET(選手情報!$A$6:$BD$119,Z72,0),56,FALSE)),"",VLOOKUP($N72,OFFSET(選手情報!$A$6:$BD$119,Z72,0),56,FALSE)),"")</f>
        <v/>
      </c>
      <c r="AC72" s="127" t="str">
        <f ca="1">IF(AB72&lt;&gt;"",IF(ISNA(VLOOKUP($N72,OFFSET(選手情報!$A$6:$M$119,AB72,0),13,FALSE)),"","/"&amp;VLOOKUP($N72,OFFSET(選手情報!$A$6:$M$119,AB72,0),13,FALSE)),"")</f>
        <v/>
      </c>
      <c r="AD72" s="127" t="str">
        <f ca="1">IF(AB72&lt;&gt;"",IF(ISNA(VLOOKUP($N72,OFFSET(選手情報!$A$6:$BD$119,AB72,0),56,FALSE)),"",VLOOKUP($N72,OFFSET(選手情報!$A$6:$BD$119,AB72,0),56,FALSE)),"")</f>
        <v/>
      </c>
      <c r="AE72" s="127" t="str">
        <f ca="1">IF(AD72&lt;&gt;"",IF(ISNA(VLOOKUP($N72,OFFSET(選手情報!$A$6:$M$119,AD72,0),13,FALSE)),"","/"&amp;VLOOKUP($N72,OFFSET(選手情報!$A$6:$M$119,AD72,0),13,FALSE)),"")</f>
        <v/>
      </c>
      <c r="AF72" s="127" t="str">
        <f ca="1">IF(AD72&lt;&gt;"",IF(ISNA(VLOOKUP($N72,OFFSET(選手情報!$A$6:$BD$119,AD72,0),56,FALSE)),"",VLOOKUP($N72,OFFSET(選手情報!$A$6:$BD$119,AD72,0),56,FALSE)),"")</f>
        <v/>
      </c>
      <c r="AG72" s="127" t="str">
        <f ca="1">IF(AF72&lt;&gt;"",IF(ISNA(VLOOKUP($N72,OFFSET(選手情報!$A$6:$M$119,AF72,0),13,FALSE)),"","/"&amp;VLOOKUP($N72,OFFSET(選手情報!$A$6:$M$119,AF72,0),13,FALSE)),"")</f>
        <v/>
      </c>
      <c r="AH72" s="127" t="str">
        <f ca="1">IF(AF72&lt;&gt;"",IF(ISNA(VLOOKUP($N72,OFFSET(選手情報!$A$6:$BD$119,AF72,0),56,FALSE)),"",VLOOKUP($N72,OFFSET(選手情報!$A$6:$BD$119,AF72,0),56,FALSE)),"")</f>
        <v/>
      </c>
      <c r="AI72" s="127" t="str">
        <f ca="1">IF(AH72&lt;&gt;"",IF(ISNA(VLOOKUP($N72,OFFSET(選手情報!$A$6:$M$119,AH72,0),13,FALSE)),"","/"&amp;VLOOKUP($N72,OFFSET(選手情報!$A$6:$M$119,AH72,0),13,FALSE)),"")</f>
        <v/>
      </c>
      <c r="AJ72" s="127" t="str">
        <f ca="1">IF(AH72&lt;&gt;"",IF(ISNA(VLOOKUP($N72,OFFSET(選手情報!$A$6:$BD$119,AH72,0),56,FALSE)),"",VLOOKUP($N72,OFFSET(選手情報!$A$6:$BD$119,AH72,0),56,FALSE)),"")</f>
        <v/>
      </c>
      <c r="AK72" s="127" t="str">
        <f ca="1">IF(AJ72&lt;&gt;"",IF(ISNA(VLOOKUP($N72,OFFSET(選手情報!$A$6:$M$119,AJ72,0),13,FALSE)),"","/"&amp;VLOOKUP($N72,OFFSET(選手情報!$A$6:$M$119,AJ72,0),13,FALSE)),"")</f>
        <v/>
      </c>
      <c r="AL72" s="127" t="str">
        <f ca="1">IF(AJ72&lt;&gt;"",IF(ISNA(VLOOKUP($N72,OFFSET(選手情報!$A$6:$BD$119,AJ72,0),56,FALSE)),"",VLOOKUP($N72,OFFSET(選手情報!$A$6:$BD$119,AJ72,0),56,FALSE)),"")</f>
        <v/>
      </c>
      <c r="AM72" s="127" t="str">
        <f ca="1">IF(AL72&lt;&gt;"",IF(ISNA(VLOOKUP($N72,OFFSET(選手情報!$A$6:$M$119,AL72,0),13,FALSE)),"","/"&amp;VLOOKUP($N72,OFFSET(選手情報!$A$6:$M$119,AL72,0),13,FALSE)),"")</f>
        <v/>
      </c>
      <c r="AN72" s="127" t="str">
        <f ca="1">IF(AL72&lt;&gt;"",IF(ISNA(VLOOKUP($N72,OFFSET(選手情報!$A$6:$BD$119,AL72,0),56,FALSE)),"",VLOOKUP($N72,OFFSET(選手情報!$A$6:$BD$119,AL72,0),56,FALSE)),"")</f>
        <v/>
      </c>
      <c r="AO72" s="127" t="str">
        <f ca="1">IF(AN72&lt;&gt;"",IF(ISNA(VLOOKUP($N72,OFFSET(選手情報!$A$6:$M$119,AN72,0),13,FALSE)),"","/"&amp;VLOOKUP($N72,OFFSET(選手情報!$A$6:$M$119,AN72,0),13,FALSE)),"")</f>
        <v/>
      </c>
      <c r="AP72" s="127" t="str">
        <f ca="1">IF(AN72&lt;&gt;"",IF(ISNA(VLOOKUP($N72,OFFSET(選手情報!$A$6:$BD$119,AN72,0),56,FALSE)),"",VLOOKUP($N72,OFFSET(選手情報!$A$6:$BD$119,AN72,0),56,FALSE)),"")</f>
        <v/>
      </c>
      <c r="AQ72" s="127" t="str">
        <f ca="1">IF(AP72&lt;&gt;"",IF(ISNA(VLOOKUP($N72,OFFSET(選手情報!$A$6:$M$119,AP72,0),13,FALSE)),"","/"&amp;VLOOKUP($N72,OFFSET(選手情報!$A$6:$M$119,AP72,0),13,FALSE)),"")</f>
        <v/>
      </c>
      <c r="AR72" s="127" t="str">
        <f ca="1">IF(AP72&lt;&gt;"",IF(ISNA(VLOOKUP($N72,OFFSET(選手情報!$A$6:$BD$119,AP72,0),56,FALSE)),"",VLOOKUP($N72,OFFSET(選手情報!$A$6:$BD$119,AP72,0),56,FALSE)),"")</f>
        <v/>
      </c>
      <c r="AS72" s="127" t="str">
        <f ca="1">IF(AR72&lt;&gt;"",IF(ISNA(VLOOKUP($N72,OFFSET(選手情報!$A$6:$M$119,AR72,0),13,FALSE)),"","/"&amp;VLOOKUP($N72,OFFSET(選手情報!$A$6:$M$119,AR72,0),13,FALSE)),"")</f>
        <v/>
      </c>
      <c r="AT72" s="127" t="str">
        <f ca="1">IF(AR72&lt;&gt;"",IF(ISNA(VLOOKUP($N72,OFFSET(選手情報!$A$6:$BD$119,AR72,0),56,FALSE)),"",VLOOKUP($N72,OFFSET(選手情報!$A$6:$BD$119,AR72,0),56,FALSE)),"")</f>
        <v/>
      </c>
      <c r="AU72" s="127" t="str">
        <f ca="1">IF(AT72&lt;&gt;"",IF(ISNA(VLOOKUP($N72,OFFSET(選手情報!$A$6:$M$119,AT72,0),13,FALSE)),"","/"&amp;VLOOKUP($N72,OFFSET(選手情報!$A$6:$M$119,AT72,0),13,FALSE)),"")</f>
        <v/>
      </c>
      <c r="AV72" s="127" t="str">
        <f ca="1">IF(AT72&lt;&gt;"",IF(ISNA(VLOOKUP($N72,OFFSET(選手情報!$A$6:$BD$119,AT72,0),56,FALSE)),"",VLOOKUP($N72,OFFSET(選手情報!$A$6:$BD$119,AT72,0),56,FALSE)),"")</f>
        <v/>
      </c>
      <c r="AW72" s="127" t="str">
        <f ca="1">IF(AV72&lt;&gt;"",IF(ISNA(VLOOKUP($N72,OFFSET(選手情報!$A$6:$M$119,AV72,0),13,FALSE)),"","/"&amp;VLOOKUP($N72,OFFSET(選手情報!$A$6:$M$119,AV72,0),13,FALSE)),"")</f>
        <v/>
      </c>
      <c r="AX72" s="127" t="str">
        <f ca="1">IF(AV72&lt;&gt;"",IF(ISNA(VLOOKUP($N72,OFFSET(選手情報!$A$6:$BD$119,AV72,0),56,FALSE)),"",VLOOKUP($N72,OFFSET(選手情報!$A$6:$BD$119,AV72,0),56,FALSE)),"")</f>
        <v/>
      </c>
      <c r="AY72" s="127" t="str">
        <f ca="1">IF(AX72&lt;&gt;"",IF(ISNA(VLOOKUP($N72,OFFSET(選手情報!$A$6:$M$119,AX72,0),13,FALSE)),"","/"&amp;VLOOKUP($N72,OFFSET(選手情報!$A$6:$M$119,AX72,0),13,FALSE)),"")</f>
        <v/>
      </c>
      <c r="AZ72" s="127" t="str">
        <f ca="1">IF(AX72&lt;&gt;"",IF(ISNA(VLOOKUP($N72,OFFSET(選手情報!$A$6:$BD$119,AX72,0),56,FALSE)),"",VLOOKUP($N72,OFFSET(選手情報!$A$6:$BD$119,AX72,0),56,FALSE)),"")</f>
        <v/>
      </c>
      <c r="BA72" s="127" t="str">
        <f ca="1">IF(AZ72&lt;&gt;"",IF(ISNA(VLOOKUP($N72,OFFSET(選手情報!$A$6:$M$119,AZ72,0),13,FALSE)),"","/"&amp;VLOOKUP($N72,OFFSET(選手情報!$A$6:$M$119,AZ72,0),13,FALSE)),"")</f>
        <v/>
      </c>
      <c r="BB72" s="127" t="str">
        <f ca="1">IF(AZ72&lt;&gt;"",IF(ISNA(VLOOKUP($N72,OFFSET(選手情報!$A$6:$BD$119,AZ72,0),56,FALSE)),"",VLOOKUP($N72,OFFSET(選手情報!$A$6:$BD$119,AZ72,0),56,FALSE)),"")</f>
        <v/>
      </c>
      <c r="BC72" s="127" t="str">
        <f ca="1">IF(BB72&lt;&gt;"",IF(ISNA(VLOOKUP($N72,OFFSET(選手情報!$A$6:$M$119,BB72,0),13,FALSE)),"","/"&amp;VLOOKUP($N72,OFFSET(選手情報!$A$6:$M$119,BB72,0),13,FALSE)),"")</f>
        <v/>
      </c>
      <c r="BD72" s="127" t="str">
        <f ca="1">IF(BB72&lt;&gt;"",IF(ISNA(VLOOKUP($N72,OFFSET(選手情報!$A$6:$BD$119,BB72,0),56,FALSE)),"",VLOOKUP($N72,OFFSET(選手情報!$A$6:$BD$119,BB72,0),56,FALSE)),"")</f>
        <v/>
      </c>
      <c r="BE72" s="127" t="str">
        <f ca="1">IF(BD72&lt;&gt;"",IF(ISNA(VLOOKUP($N72,OFFSET(選手情報!$A$6:$M$119,BD72,0),13,FALSE)),"","/"&amp;VLOOKUP($N72,OFFSET(選手情報!$A$6:$M$119,BD72,0),13,FALSE)),"")</f>
        <v/>
      </c>
      <c r="BF72" s="127" t="str">
        <f ca="1">IF(BD72&lt;&gt;"",IF(ISNA(VLOOKUP($N72,OFFSET(選手情報!$A$6:$BD$119,BD72,0),56,FALSE)),"",VLOOKUP($N72,OFFSET(選手情報!$A$6:$BD$119,BD72,0),56,FALSE)),"")</f>
        <v/>
      </c>
      <c r="BG72" s="127" t="str">
        <f ca="1">IF(BF72&lt;&gt;"",IF(ISNA(VLOOKUP($N72,OFFSET(選手情報!$A$6:$M$119,BF72,0),13,FALSE)),"","/"&amp;VLOOKUP($N72,OFFSET(選手情報!$A$6:$M$119,BF72,0),13,FALSE)),"")</f>
        <v/>
      </c>
      <c r="BH72" s="127" t="str">
        <f ca="1">IF(BF72&lt;&gt;"",IF(ISNA(VLOOKUP($N72,OFFSET(選手情報!$A$6:$BD$119,BF72,0),56,FALSE)),"",VLOOKUP($N72,OFFSET(選手情報!$A$6:$BD$119,BF72,0),56,FALSE)),"")</f>
        <v/>
      </c>
      <c r="BI72" s="127" t="str">
        <f ca="1">IF(BH72&lt;&gt;"",IF(ISNA(VLOOKUP($N72,OFFSET(選手情報!$A$6:$M$119,BH72,0),13,FALSE)),"","/"&amp;VLOOKUP($N72,OFFSET(選手情報!$A$6:$M$119,BH72,0),13,FALSE)),"")</f>
        <v/>
      </c>
    </row>
    <row r="73" spans="1:61" s="127" customFormat="1" ht="12.6" customHeight="1">
      <c r="A73" s="128" t="str">
        <f>IF(ISNA(VLOOKUP($C$2&amp;N73,選手データ!A:H,3,FALSE)),"",IF(M73&lt;&gt;M72,VLOOKUP($C$2&amp;N73,選手データ!A:H,3,FALSE),""))</f>
        <v/>
      </c>
      <c r="B73" s="129" t="str">
        <f>IF(A73&lt;&gt;"",VLOOKUP($C$2&amp;N73,選手データ!A:H,4,FALSE),"")</f>
        <v/>
      </c>
      <c r="C73" s="129" t="str">
        <f>IF(A73&lt;&gt;"",VLOOKUP($C$2&amp;N73,選手データ!A:H,5,FALSE),"")</f>
        <v/>
      </c>
      <c r="D73" s="129" t="str">
        <f>IF(A73&lt;&gt;"",VLOOKUP($C$2&amp;N73,選手データ!A:H,6,FALSE),"")</f>
        <v/>
      </c>
      <c r="E73" s="129" t="str">
        <f>IF(A73&lt;&gt;"",VLOOKUP($C$2&amp;N73,選手データ!A:H,7,FALSE),"")</f>
        <v/>
      </c>
      <c r="F73" s="130" t="str">
        <f>IF(A73&lt;&gt;"",VLOOKUP($C$2&amp;N73,選手データ!A:H,8,FALSE),"")</f>
        <v/>
      </c>
      <c r="G73" s="130" t="str">
        <f>IF(F73&lt;&gt;"",IF(DATEDIF(F73,設定!$B$12,"Y")&lt;20,"〇",""),"")</f>
        <v/>
      </c>
      <c r="H73" s="131" t="str">
        <f t="shared" ca="1" si="0"/>
        <v/>
      </c>
      <c r="I73" s="132" t="str">
        <f t="shared" ca="1" si="1"/>
        <v/>
      </c>
      <c r="J73" s="131" t="str">
        <f t="shared" ca="1" si="2"/>
        <v/>
      </c>
      <c r="K73" s="130" t="str">
        <f>IF(A73&lt;&gt;"",IF(COUNTIF(リレーチーム情報!$B$5:$B$10,A73&amp;E73)=1,"〇",""),"")</f>
        <v/>
      </c>
      <c r="L73" s="133" t="str">
        <f>IF(A73&lt;&gt;"",IF(COUNTIF(リレーチーム情報!$B$11:$B$16,A73&amp;E73)=1,"〇",""),"")</f>
        <v/>
      </c>
      <c r="M73" s="127">
        <f>IF(学校情報!$A$4&lt;&gt;"",0,IF(S72=0,MAX($M$37:M72)+1,M72))</f>
        <v>0</v>
      </c>
      <c r="N73" s="127" t="str">
        <f>IF(M73&lt;&gt;0,VLOOKUP(M73,選手情報!BF:BG,2,FALSE),"")</f>
        <v/>
      </c>
      <c r="O73" s="127" t="str">
        <f ca="1">IF(M73&lt;&gt;0,VLOOKUP(N73,OFFSET(選手情報!$A$6:$W$119,IF(M73&lt;&gt;M72,0,R72),0),13,FALSE),"")</f>
        <v/>
      </c>
      <c r="P73" s="127" t="str">
        <f ca="1">IF(M73&lt;&gt;0,VLOOKUP(N73,OFFSET(選手情報!$A$6:$W$119,IF(M73&lt;&gt;M72,0,R72),0),16,FALSE),"")</f>
        <v/>
      </c>
      <c r="Q73" s="127" t="str">
        <f ca="1">IF(M73&lt;&gt;0,VLOOKUP(N73,OFFSET(選手情報!$A$6:$W$119,IF(M73&lt;&gt;M72,0,R72),0),21,FALSE),"")</f>
        <v/>
      </c>
      <c r="R73" s="127">
        <f ca="1">IF(M73&lt;&gt;0,VLOOKUP(N73,OFFSET(選手情報!$A$6:$BD$119,IF(M73&lt;&gt;M72,0,R72),0),56,FALSE),0)</f>
        <v>0</v>
      </c>
      <c r="S73" s="127">
        <f ca="1">IF(M73&lt;&gt;0,IF(ISNA(R73),0,COUNTIF(OFFSET(選手情報!$A$6:$A$119,R73,0),N73)),0)</f>
        <v>0</v>
      </c>
      <c r="U73" s="127">
        <f t="shared" si="3"/>
        <v>0</v>
      </c>
      <c r="V73" s="127">
        <f t="shared" ca="1" si="4"/>
        <v>1</v>
      </c>
      <c r="W73" s="127">
        <f t="shared" ca="1" si="5"/>
        <v>0</v>
      </c>
      <c r="X73" s="127" t="str">
        <f t="shared" ca="1" si="6"/>
        <v/>
      </c>
      <c r="Y73" s="127" t="str">
        <f>IF($A73&lt;&gt;"",IF(ISNA(VLOOKUP($N73,選手情報!$A$6:$M$119,13,FALSE)),"","/"&amp;VLOOKUP($N73,選手情報!$A$6:$M$119,13,FALSE)),"")</f>
        <v/>
      </c>
      <c r="Z73" s="127" t="str">
        <f ca="1">IF(Y73&lt;&gt;"",IF(ISNA(VLOOKUP($N73,OFFSET(選手情報!$A$6:$BD$119,0,0),56,FALSE)),"",VLOOKUP($N73,OFFSET(選手情報!$A$6:$BD$119,0,0),56,FALSE)),"")</f>
        <v/>
      </c>
      <c r="AA73" s="127" t="str">
        <f ca="1">IF(Z73&lt;&gt;"",IF(ISNA(VLOOKUP($N73,OFFSET(選手情報!$A$6:$M$119,Z73,0),13,FALSE)),"","/"&amp;VLOOKUP($N73,OFFSET(選手情報!$A$6:$M$119,Z73,0),13,FALSE)),"")</f>
        <v/>
      </c>
      <c r="AB73" s="127" t="str">
        <f ca="1">IF(Z73&lt;&gt;"",IF(ISNA(VLOOKUP($N73,OFFSET(選手情報!$A$6:$BD$119,Z73,0),56,FALSE)),"",VLOOKUP($N73,OFFSET(選手情報!$A$6:$BD$119,Z73,0),56,FALSE)),"")</f>
        <v/>
      </c>
      <c r="AC73" s="127" t="str">
        <f ca="1">IF(AB73&lt;&gt;"",IF(ISNA(VLOOKUP($N73,OFFSET(選手情報!$A$6:$M$119,AB73,0),13,FALSE)),"","/"&amp;VLOOKUP($N73,OFFSET(選手情報!$A$6:$M$119,AB73,0),13,FALSE)),"")</f>
        <v/>
      </c>
      <c r="AD73" s="127" t="str">
        <f ca="1">IF(AB73&lt;&gt;"",IF(ISNA(VLOOKUP($N73,OFFSET(選手情報!$A$6:$BD$119,AB73,0),56,FALSE)),"",VLOOKUP($N73,OFFSET(選手情報!$A$6:$BD$119,AB73,0),56,FALSE)),"")</f>
        <v/>
      </c>
      <c r="AE73" s="127" t="str">
        <f ca="1">IF(AD73&lt;&gt;"",IF(ISNA(VLOOKUP($N73,OFFSET(選手情報!$A$6:$M$119,AD73,0),13,FALSE)),"","/"&amp;VLOOKUP($N73,OFFSET(選手情報!$A$6:$M$119,AD73,0),13,FALSE)),"")</f>
        <v/>
      </c>
      <c r="AF73" s="127" t="str">
        <f ca="1">IF(AD73&lt;&gt;"",IF(ISNA(VLOOKUP($N73,OFFSET(選手情報!$A$6:$BD$119,AD73,0),56,FALSE)),"",VLOOKUP($N73,OFFSET(選手情報!$A$6:$BD$119,AD73,0),56,FALSE)),"")</f>
        <v/>
      </c>
      <c r="AG73" s="127" t="str">
        <f ca="1">IF(AF73&lt;&gt;"",IF(ISNA(VLOOKUP($N73,OFFSET(選手情報!$A$6:$M$119,AF73,0),13,FALSE)),"","/"&amp;VLOOKUP($N73,OFFSET(選手情報!$A$6:$M$119,AF73,0),13,FALSE)),"")</f>
        <v/>
      </c>
      <c r="AH73" s="127" t="str">
        <f ca="1">IF(AF73&lt;&gt;"",IF(ISNA(VLOOKUP($N73,OFFSET(選手情報!$A$6:$BD$119,AF73,0),56,FALSE)),"",VLOOKUP($N73,OFFSET(選手情報!$A$6:$BD$119,AF73,0),56,FALSE)),"")</f>
        <v/>
      </c>
      <c r="AI73" s="127" t="str">
        <f ca="1">IF(AH73&lt;&gt;"",IF(ISNA(VLOOKUP($N73,OFFSET(選手情報!$A$6:$M$119,AH73,0),13,FALSE)),"","/"&amp;VLOOKUP($N73,OFFSET(選手情報!$A$6:$M$119,AH73,0),13,FALSE)),"")</f>
        <v/>
      </c>
      <c r="AJ73" s="127" t="str">
        <f ca="1">IF(AH73&lt;&gt;"",IF(ISNA(VLOOKUP($N73,OFFSET(選手情報!$A$6:$BD$119,AH73,0),56,FALSE)),"",VLOOKUP($N73,OFFSET(選手情報!$A$6:$BD$119,AH73,0),56,FALSE)),"")</f>
        <v/>
      </c>
      <c r="AK73" s="127" t="str">
        <f ca="1">IF(AJ73&lt;&gt;"",IF(ISNA(VLOOKUP($N73,OFFSET(選手情報!$A$6:$M$119,AJ73,0),13,FALSE)),"","/"&amp;VLOOKUP($N73,OFFSET(選手情報!$A$6:$M$119,AJ73,0),13,FALSE)),"")</f>
        <v/>
      </c>
      <c r="AL73" s="127" t="str">
        <f ca="1">IF(AJ73&lt;&gt;"",IF(ISNA(VLOOKUP($N73,OFFSET(選手情報!$A$6:$BD$119,AJ73,0),56,FALSE)),"",VLOOKUP($N73,OFFSET(選手情報!$A$6:$BD$119,AJ73,0),56,FALSE)),"")</f>
        <v/>
      </c>
      <c r="AM73" s="127" t="str">
        <f ca="1">IF(AL73&lt;&gt;"",IF(ISNA(VLOOKUP($N73,OFFSET(選手情報!$A$6:$M$119,AL73,0),13,FALSE)),"","/"&amp;VLOOKUP($N73,OFFSET(選手情報!$A$6:$M$119,AL73,0),13,FALSE)),"")</f>
        <v/>
      </c>
      <c r="AN73" s="127" t="str">
        <f ca="1">IF(AL73&lt;&gt;"",IF(ISNA(VLOOKUP($N73,OFFSET(選手情報!$A$6:$BD$119,AL73,0),56,FALSE)),"",VLOOKUP($N73,OFFSET(選手情報!$A$6:$BD$119,AL73,0),56,FALSE)),"")</f>
        <v/>
      </c>
      <c r="AO73" s="127" t="str">
        <f ca="1">IF(AN73&lt;&gt;"",IF(ISNA(VLOOKUP($N73,OFFSET(選手情報!$A$6:$M$119,AN73,0),13,FALSE)),"","/"&amp;VLOOKUP($N73,OFFSET(選手情報!$A$6:$M$119,AN73,0),13,FALSE)),"")</f>
        <v/>
      </c>
      <c r="AP73" s="127" t="str">
        <f ca="1">IF(AN73&lt;&gt;"",IF(ISNA(VLOOKUP($N73,OFFSET(選手情報!$A$6:$BD$119,AN73,0),56,FALSE)),"",VLOOKUP($N73,OFFSET(選手情報!$A$6:$BD$119,AN73,0),56,FALSE)),"")</f>
        <v/>
      </c>
      <c r="AQ73" s="127" t="str">
        <f ca="1">IF(AP73&lt;&gt;"",IF(ISNA(VLOOKUP($N73,OFFSET(選手情報!$A$6:$M$119,AP73,0),13,FALSE)),"","/"&amp;VLOOKUP($N73,OFFSET(選手情報!$A$6:$M$119,AP73,0),13,FALSE)),"")</f>
        <v/>
      </c>
      <c r="AR73" s="127" t="str">
        <f ca="1">IF(AP73&lt;&gt;"",IF(ISNA(VLOOKUP($N73,OFFSET(選手情報!$A$6:$BD$119,AP73,0),56,FALSE)),"",VLOOKUP($N73,OFFSET(選手情報!$A$6:$BD$119,AP73,0),56,FALSE)),"")</f>
        <v/>
      </c>
      <c r="AS73" s="127" t="str">
        <f ca="1">IF(AR73&lt;&gt;"",IF(ISNA(VLOOKUP($N73,OFFSET(選手情報!$A$6:$M$119,AR73,0),13,FALSE)),"","/"&amp;VLOOKUP($N73,OFFSET(選手情報!$A$6:$M$119,AR73,0),13,FALSE)),"")</f>
        <v/>
      </c>
      <c r="AT73" s="127" t="str">
        <f ca="1">IF(AR73&lt;&gt;"",IF(ISNA(VLOOKUP($N73,OFFSET(選手情報!$A$6:$BD$119,AR73,0),56,FALSE)),"",VLOOKUP($N73,OFFSET(選手情報!$A$6:$BD$119,AR73,0),56,FALSE)),"")</f>
        <v/>
      </c>
      <c r="AU73" s="127" t="str">
        <f ca="1">IF(AT73&lt;&gt;"",IF(ISNA(VLOOKUP($N73,OFFSET(選手情報!$A$6:$M$119,AT73,0),13,FALSE)),"","/"&amp;VLOOKUP($N73,OFFSET(選手情報!$A$6:$M$119,AT73,0),13,FALSE)),"")</f>
        <v/>
      </c>
      <c r="AV73" s="127" t="str">
        <f ca="1">IF(AT73&lt;&gt;"",IF(ISNA(VLOOKUP($N73,OFFSET(選手情報!$A$6:$BD$119,AT73,0),56,FALSE)),"",VLOOKUP($N73,OFFSET(選手情報!$A$6:$BD$119,AT73,0),56,FALSE)),"")</f>
        <v/>
      </c>
      <c r="AW73" s="127" t="str">
        <f ca="1">IF(AV73&lt;&gt;"",IF(ISNA(VLOOKUP($N73,OFFSET(選手情報!$A$6:$M$119,AV73,0),13,FALSE)),"","/"&amp;VLOOKUP($N73,OFFSET(選手情報!$A$6:$M$119,AV73,0),13,FALSE)),"")</f>
        <v/>
      </c>
      <c r="AX73" s="127" t="str">
        <f ca="1">IF(AV73&lt;&gt;"",IF(ISNA(VLOOKUP($N73,OFFSET(選手情報!$A$6:$BD$119,AV73,0),56,FALSE)),"",VLOOKUP($N73,OFFSET(選手情報!$A$6:$BD$119,AV73,0),56,FALSE)),"")</f>
        <v/>
      </c>
      <c r="AY73" s="127" t="str">
        <f ca="1">IF(AX73&lt;&gt;"",IF(ISNA(VLOOKUP($N73,OFFSET(選手情報!$A$6:$M$119,AX73,0),13,FALSE)),"","/"&amp;VLOOKUP($N73,OFFSET(選手情報!$A$6:$M$119,AX73,0),13,FALSE)),"")</f>
        <v/>
      </c>
      <c r="AZ73" s="127" t="str">
        <f ca="1">IF(AX73&lt;&gt;"",IF(ISNA(VLOOKUP($N73,OFFSET(選手情報!$A$6:$BD$119,AX73,0),56,FALSE)),"",VLOOKUP($N73,OFFSET(選手情報!$A$6:$BD$119,AX73,0),56,FALSE)),"")</f>
        <v/>
      </c>
      <c r="BA73" s="127" t="str">
        <f ca="1">IF(AZ73&lt;&gt;"",IF(ISNA(VLOOKUP($N73,OFFSET(選手情報!$A$6:$M$119,AZ73,0),13,FALSE)),"","/"&amp;VLOOKUP($N73,OFFSET(選手情報!$A$6:$M$119,AZ73,0),13,FALSE)),"")</f>
        <v/>
      </c>
      <c r="BB73" s="127" t="str">
        <f ca="1">IF(AZ73&lt;&gt;"",IF(ISNA(VLOOKUP($N73,OFFSET(選手情報!$A$6:$BD$119,AZ73,0),56,FALSE)),"",VLOOKUP($N73,OFFSET(選手情報!$A$6:$BD$119,AZ73,0),56,FALSE)),"")</f>
        <v/>
      </c>
      <c r="BC73" s="127" t="str">
        <f ca="1">IF(BB73&lt;&gt;"",IF(ISNA(VLOOKUP($N73,OFFSET(選手情報!$A$6:$M$119,BB73,0),13,FALSE)),"","/"&amp;VLOOKUP($N73,OFFSET(選手情報!$A$6:$M$119,BB73,0),13,FALSE)),"")</f>
        <v/>
      </c>
      <c r="BD73" s="127" t="str">
        <f ca="1">IF(BB73&lt;&gt;"",IF(ISNA(VLOOKUP($N73,OFFSET(選手情報!$A$6:$BD$119,BB73,0),56,FALSE)),"",VLOOKUP($N73,OFFSET(選手情報!$A$6:$BD$119,BB73,0),56,FALSE)),"")</f>
        <v/>
      </c>
      <c r="BE73" s="127" t="str">
        <f ca="1">IF(BD73&lt;&gt;"",IF(ISNA(VLOOKUP($N73,OFFSET(選手情報!$A$6:$M$119,BD73,0),13,FALSE)),"","/"&amp;VLOOKUP($N73,OFFSET(選手情報!$A$6:$M$119,BD73,0),13,FALSE)),"")</f>
        <v/>
      </c>
      <c r="BF73" s="127" t="str">
        <f ca="1">IF(BD73&lt;&gt;"",IF(ISNA(VLOOKUP($N73,OFFSET(選手情報!$A$6:$BD$119,BD73,0),56,FALSE)),"",VLOOKUP($N73,OFFSET(選手情報!$A$6:$BD$119,BD73,0),56,FALSE)),"")</f>
        <v/>
      </c>
      <c r="BG73" s="127" t="str">
        <f ca="1">IF(BF73&lt;&gt;"",IF(ISNA(VLOOKUP($N73,OFFSET(選手情報!$A$6:$M$119,BF73,0),13,FALSE)),"","/"&amp;VLOOKUP($N73,OFFSET(選手情報!$A$6:$M$119,BF73,0),13,FALSE)),"")</f>
        <v/>
      </c>
      <c r="BH73" s="127" t="str">
        <f ca="1">IF(BF73&lt;&gt;"",IF(ISNA(VLOOKUP($N73,OFFSET(選手情報!$A$6:$BD$119,BF73,0),56,FALSE)),"",VLOOKUP($N73,OFFSET(選手情報!$A$6:$BD$119,BF73,0),56,FALSE)),"")</f>
        <v/>
      </c>
      <c r="BI73" s="127" t="str">
        <f ca="1">IF(BH73&lt;&gt;"",IF(ISNA(VLOOKUP($N73,OFFSET(選手情報!$A$6:$M$119,BH73,0),13,FALSE)),"","/"&amp;VLOOKUP($N73,OFFSET(選手情報!$A$6:$M$119,BH73,0),13,FALSE)),"")</f>
        <v/>
      </c>
    </row>
    <row r="74" spans="1:61" s="127" customFormat="1" ht="12.6" customHeight="1">
      <c r="A74" s="128" t="str">
        <f>IF(ISNA(VLOOKUP($C$2&amp;N74,選手データ!A:H,3,FALSE)),"",IF(M74&lt;&gt;M73,VLOOKUP($C$2&amp;N74,選手データ!A:H,3,FALSE),""))</f>
        <v/>
      </c>
      <c r="B74" s="129" t="str">
        <f>IF(A74&lt;&gt;"",VLOOKUP($C$2&amp;N74,選手データ!A:H,4,FALSE),"")</f>
        <v/>
      </c>
      <c r="C74" s="129" t="str">
        <f>IF(A74&lt;&gt;"",VLOOKUP($C$2&amp;N74,選手データ!A:H,5,FALSE),"")</f>
        <v/>
      </c>
      <c r="D74" s="129" t="str">
        <f>IF(A74&lt;&gt;"",VLOOKUP($C$2&amp;N74,選手データ!A:H,6,FALSE),"")</f>
        <v/>
      </c>
      <c r="E74" s="129" t="str">
        <f>IF(A74&lt;&gt;"",VLOOKUP($C$2&amp;N74,選手データ!A:H,7,FALSE),"")</f>
        <v/>
      </c>
      <c r="F74" s="130" t="str">
        <f>IF(A74&lt;&gt;"",VLOOKUP($C$2&amp;N74,選手データ!A:H,8,FALSE),"")</f>
        <v/>
      </c>
      <c r="G74" s="130" t="str">
        <f>IF(F74&lt;&gt;"",IF(DATEDIF(F74,設定!$B$12,"Y")&lt;20,"〇",""),"")</f>
        <v/>
      </c>
      <c r="H74" s="131" t="str">
        <f t="shared" ca="1" si="0"/>
        <v/>
      </c>
      <c r="I74" s="132" t="str">
        <f t="shared" ca="1" si="1"/>
        <v/>
      </c>
      <c r="J74" s="131" t="str">
        <f t="shared" ca="1" si="2"/>
        <v/>
      </c>
      <c r="K74" s="130" t="str">
        <f>IF(A74&lt;&gt;"",IF(COUNTIF(リレーチーム情報!$B$5:$B$10,A74&amp;E74)=1,"〇",""),"")</f>
        <v/>
      </c>
      <c r="L74" s="133" t="str">
        <f>IF(A74&lt;&gt;"",IF(COUNTIF(リレーチーム情報!$B$11:$B$16,A74&amp;E74)=1,"〇",""),"")</f>
        <v/>
      </c>
      <c r="M74" s="127">
        <f>IF(学校情報!$A$4&lt;&gt;"",0,IF(S73=0,MAX($M$37:M73)+1,M73))</f>
        <v>0</v>
      </c>
      <c r="N74" s="127" t="str">
        <f>IF(M74&lt;&gt;0,VLOOKUP(M74,選手情報!BF:BG,2,FALSE),"")</f>
        <v/>
      </c>
      <c r="O74" s="127" t="str">
        <f ca="1">IF(M74&lt;&gt;0,VLOOKUP(N74,OFFSET(選手情報!$A$6:$W$119,IF(M74&lt;&gt;M73,0,R73),0),13,FALSE),"")</f>
        <v/>
      </c>
      <c r="P74" s="127" t="str">
        <f ca="1">IF(M74&lt;&gt;0,VLOOKUP(N74,OFFSET(選手情報!$A$6:$W$119,IF(M74&lt;&gt;M73,0,R73),0),16,FALSE),"")</f>
        <v/>
      </c>
      <c r="Q74" s="127" t="str">
        <f ca="1">IF(M74&lt;&gt;0,VLOOKUP(N74,OFFSET(選手情報!$A$6:$W$119,IF(M74&lt;&gt;M73,0,R73),0),21,FALSE),"")</f>
        <v/>
      </c>
      <c r="R74" s="127">
        <f ca="1">IF(M74&lt;&gt;0,VLOOKUP(N74,OFFSET(選手情報!$A$6:$BD$119,IF(M74&lt;&gt;M73,0,R73),0),56,FALSE),0)</f>
        <v>0</v>
      </c>
      <c r="S74" s="127">
        <f ca="1">IF(M74&lt;&gt;0,IF(ISNA(R74),0,COUNTIF(OFFSET(選手情報!$A$6:$A$119,R74,0),N74)),0)</f>
        <v>0</v>
      </c>
      <c r="U74" s="127">
        <f t="shared" si="3"/>
        <v>0</v>
      </c>
      <c r="V74" s="127">
        <f t="shared" ca="1" si="4"/>
        <v>1</v>
      </c>
      <c r="W74" s="127">
        <f t="shared" ca="1" si="5"/>
        <v>0</v>
      </c>
      <c r="X74" s="127" t="str">
        <f t="shared" ca="1" si="6"/>
        <v/>
      </c>
      <c r="Y74" s="127" t="str">
        <f>IF($A74&lt;&gt;"",IF(ISNA(VLOOKUP($N74,選手情報!$A$6:$M$119,13,FALSE)),"","/"&amp;VLOOKUP($N74,選手情報!$A$6:$M$119,13,FALSE)),"")</f>
        <v/>
      </c>
      <c r="Z74" s="127" t="str">
        <f ca="1">IF(Y74&lt;&gt;"",IF(ISNA(VLOOKUP($N74,OFFSET(選手情報!$A$6:$BD$119,0,0),56,FALSE)),"",VLOOKUP($N74,OFFSET(選手情報!$A$6:$BD$119,0,0),56,FALSE)),"")</f>
        <v/>
      </c>
      <c r="AA74" s="127" t="str">
        <f ca="1">IF(Z74&lt;&gt;"",IF(ISNA(VLOOKUP($N74,OFFSET(選手情報!$A$6:$M$119,Z74,0),13,FALSE)),"","/"&amp;VLOOKUP($N74,OFFSET(選手情報!$A$6:$M$119,Z74,0),13,FALSE)),"")</f>
        <v/>
      </c>
      <c r="AB74" s="127" t="str">
        <f ca="1">IF(Z74&lt;&gt;"",IF(ISNA(VLOOKUP($N74,OFFSET(選手情報!$A$6:$BD$119,Z74,0),56,FALSE)),"",VLOOKUP($N74,OFFSET(選手情報!$A$6:$BD$119,Z74,0),56,FALSE)),"")</f>
        <v/>
      </c>
      <c r="AC74" s="127" t="str">
        <f ca="1">IF(AB74&lt;&gt;"",IF(ISNA(VLOOKUP($N74,OFFSET(選手情報!$A$6:$M$119,AB74,0),13,FALSE)),"","/"&amp;VLOOKUP($N74,OFFSET(選手情報!$A$6:$M$119,AB74,0),13,FALSE)),"")</f>
        <v/>
      </c>
      <c r="AD74" s="127" t="str">
        <f ca="1">IF(AB74&lt;&gt;"",IF(ISNA(VLOOKUP($N74,OFFSET(選手情報!$A$6:$BD$119,AB74,0),56,FALSE)),"",VLOOKUP($N74,OFFSET(選手情報!$A$6:$BD$119,AB74,0),56,FALSE)),"")</f>
        <v/>
      </c>
      <c r="AE74" s="127" t="str">
        <f ca="1">IF(AD74&lt;&gt;"",IF(ISNA(VLOOKUP($N74,OFFSET(選手情報!$A$6:$M$119,AD74,0),13,FALSE)),"","/"&amp;VLOOKUP($N74,OFFSET(選手情報!$A$6:$M$119,AD74,0),13,FALSE)),"")</f>
        <v/>
      </c>
      <c r="AF74" s="127" t="str">
        <f ca="1">IF(AD74&lt;&gt;"",IF(ISNA(VLOOKUP($N74,OFFSET(選手情報!$A$6:$BD$119,AD74,0),56,FALSE)),"",VLOOKUP($N74,OFFSET(選手情報!$A$6:$BD$119,AD74,0),56,FALSE)),"")</f>
        <v/>
      </c>
      <c r="AG74" s="127" t="str">
        <f ca="1">IF(AF74&lt;&gt;"",IF(ISNA(VLOOKUP($N74,OFFSET(選手情報!$A$6:$M$119,AF74,0),13,FALSE)),"","/"&amp;VLOOKUP($N74,OFFSET(選手情報!$A$6:$M$119,AF74,0),13,FALSE)),"")</f>
        <v/>
      </c>
      <c r="AH74" s="127" t="str">
        <f ca="1">IF(AF74&lt;&gt;"",IF(ISNA(VLOOKUP($N74,OFFSET(選手情報!$A$6:$BD$119,AF74,0),56,FALSE)),"",VLOOKUP($N74,OFFSET(選手情報!$A$6:$BD$119,AF74,0),56,FALSE)),"")</f>
        <v/>
      </c>
      <c r="AI74" s="127" t="str">
        <f ca="1">IF(AH74&lt;&gt;"",IF(ISNA(VLOOKUP($N74,OFFSET(選手情報!$A$6:$M$119,AH74,0),13,FALSE)),"","/"&amp;VLOOKUP($N74,OFFSET(選手情報!$A$6:$M$119,AH74,0),13,FALSE)),"")</f>
        <v/>
      </c>
      <c r="AJ74" s="127" t="str">
        <f ca="1">IF(AH74&lt;&gt;"",IF(ISNA(VLOOKUP($N74,OFFSET(選手情報!$A$6:$BD$119,AH74,0),56,FALSE)),"",VLOOKUP($N74,OFFSET(選手情報!$A$6:$BD$119,AH74,0),56,FALSE)),"")</f>
        <v/>
      </c>
      <c r="AK74" s="127" t="str">
        <f ca="1">IF(AJ74&lt;&gt;"",IF(ISNA(VLOOKUP($N74,OFFSET(選手情報!$A$6:$M$119,AJ74,0),13,FALSE)),"","/"&amp;VLOOKUP($N74,OFFSET(選手情報!$A$6:$M$119,AJ74,0),13,FALSE)),"")</f>
        <v/>
      </c>
      <c r="AL74" s="127" t="str">
        <f ca="1">IF(AJ74&lt;&gt;"",IF(ISNA(VLOOKUP($N74,OFFSET(選手情報!$A$6:$BD$119,AJ74,0),56,FALSE)),"",VLOOKUP($N74,OFFSET(選手情報!$A$6:$BD$119,AJ74,0),56,FALSE)),"")</f>
        <v/>
      </c>
      <c r="AM74" s="127" t="str">
        <f ca="1">IF(AL74&lt;&gt;"",IF(ISNA(VLOOKUP($N74,OFFSET(選手情報!$A$6:$M$119,AL74,0),13,FALSE)),"","/"&amp;VLOOKUP($N74,OFFSET(選手情報!$A$6:$M$119,AL74,0),13,FALSE)),"")</f>
        <v/>
      </c>
      <c r="AN74" s="127" t="str">
        <f ca="1">IF(AL74&lt;&gt;"",IF(ISNA(VLOOKUP($N74,OFFSET(選手情報!$A$6:$BD$119,AL74,0),56,FALSE)),"",VLOOKUP($N74,OFFSET(選手情報!$A$6:$BD$119,AL74,0),56,FALSE)),"")</f>
        <v/>
      </c>
      <c r="AO74" s="127" t="str">
        <f ca="1">IF(AN74&lt;&gt;"",IF(ISNA(VLOOKUP($N74,OFFSET(選手情報!$A$6:$M$119,AN74,0),13,FALSE)),"","/"&amp;VLOOKUP($N74,OFFSET(選手情報!$A$6:$M$119,AN74,0),13,FALSE)),"")</f>
        <v/>
      </c>
      <c r="AP74" s="127" t="str">
        <f ca="1">IF(AN74&lt;&gt;"",IF(ISNA(VLOOKUP($N74,OFFSET(選手情報!$A$6:$BD$119,AN74,0),56,FALSE)),"",VLOOKUP($N74,OFFSET(選手情報!$A$6:$BD$119,AN74,0),56,FALSE)),"")</f>
        <v/>
      </c>
      <c r="AQ74" s="127" t="str">
        <f ca="1">IF(AP74&lt;&gt;"",IF(ISNA(VLOOKUP($N74,OFFSET(選手情報!$A$6:$M$119,AP74,0),13,FALSE)),"","/"&amp;VLOOKUP($N74,OFFSET(選手情報!$A$6:$M$119,AP74,0),13,FALSE)),"")</f>
        <v/>
      </c>
      <c r="AR74" s="127" t="str">
        <f ca="1">IF(AP74&lt;&gt;"",IF(ISNA(VLOOKUP($N74,OFFSET(選手情報!$A$6:$BD$119,AP74,0),56,FALSE)),"",VLOOKUP($N74,OFFSET(選手情報!$A$6:$BD$119,AP74,0),56,FALSE)),"")</f>
        <v/>
      </c>
      <c r="AS74" s="127" t="str">
        <f ca="1">IF(AR74&lt;&gt;"",IF(ISNA(VLOOKUP($N74,OFFSET(選手情報!$A$6:$M$119,AR74,0),13,FALSE)),"","/"&amp;VLOOKUP($N74,OFFSET(選手情報!$A$6:$M$119,AR74,0),13,FALSE)),"")</f>
        <v/>
      </c>
      <c r="AT74" s="127" t="str">
        <f ca="1">IF(AR74&lt;&gt;"",IF(ISNA(VLOOKUP($N74,OFFSET(選手情報!$A$6:$BD$119,AR74,0),56,FALSE)),"",VLOOKUP($N74,OFFSET(選手情報!$A$6:$BD$119,AR74,0),56,FALSE)),"")</f>
        <v/>
      </c>
      <c r="AU74" s="127" t="str">
        <f ca="1">IF(AT74&lt;&gt;"",IF(ISNA(VLOOKUP($N74,OFFSET(選手情報!$A$6:$M$119,AT74,0),13,FALSE)),"","/"&amp;VLOOKUP($N74,OFFSET(選手情報!$A$6:$M$119,AT74,0),13,FALSE)),"")</f>
        <v/>
      </c>
      <c r="AV74" s="127" t="str">
        <f ca="1">IF(AT74&lt;&gt;"",IF(ISNA(VLOOKUP($N74,OFFSET(選手情報!$A$6:$BD$119,AT74,0),56,FALSE)),"",VLOOKUP($N74,OFFSET(選手情報!$A$6:$BD$119,AT74,0),56,FALSE)),"")</f>
        <v/>
      </c>
      <c r="AW74" s="127" t="str">
        <f ca="1">IF(AV74&lt;&gt;"",IF(ISNA(VLOOKUP($N74,OFFSET(選手情報!$A$6:$M$119,AV74,0),13,FALSE)),"","/"&amp;VLOOKUP($N74,OFFSET(選手情報!$A$6:$M$119,AV74,0),13,FALSE)),"")</f>
        <v/>
      </c>
      <c r="AX74" s="127" t="str">
        <f ca="1">IF(AV74&lt;&gt;"",IF(ISNA(VLOOKUP($N74,OFFSET(選手情報!$A$6:$BD$119,AV74,0),56,FALSE)),"",VLOOKUP($N74,OFFSET(選手情報!$A$6:$BD$119,AV74,0),56,FALSE)),"")</f>
        <v/>
      </c>
      <c r="AY74" s="127" t="str">
        <f ca="1">IF(AX74&lt;&gt;"",IF(ISNA(VLOOKUP($N74,OFFSET(選手情報!$A$6:$M$119,AX74,0),13,FALSE)),"","/"&amp;VLOOKUP($N74,OFFSET(選手情報!$A$6:$M$119,AX74,0),13,FALSE)),"")</f>
        <v/>
      </c>
      <c r="AZ74" s="127" t="str">
        <f ca="1">IF(AX74&lt;&gt;"",IF(ISNA(VLOOKUP($N74,OFFSET(選手情報!$A$6:$BD$119,AX74,0),56,FALSE)),"",VLOOKUP($N74,OFFSET(選手情報!$A$6:$BD$119,AX74,0),56,FALSE)),"")</f>
        <v/>
      </c>
      <c r="BA74" s="127" t="str">
        <f ca="1">IF(AZ74&lt;&gt;"",IF(ISNA(VLOOKUP($N74,OFFSET(選手情報!$A$6:$M$119,AZ74,0),13,FALSE)),"","/"&amp;VLOOKUP($N74,OFFSET(選手情報!$A$6:$M$119,AZ74,0),13,FALSE)),"")</f>
        <v/>
      </c>
      <c r="BB74" s="127" t="str">
        <f ca="1">IF(AZ74&lt;&gt;"",IF(ISNA(VLOOKUP($N74,OFFSET(選手情報!$A$6:$BD$119,AZ74,0),56,FALSE)),"",VLOOKUP($N74,OFFSET(選手情報!$A$6:$BD$119,AZ74,0),56,FALSE)),"")</f>
        <v/>
      </c>
      <c r="BC74" s="127" t="str">
        <f ca="1">IF(BB74&lt;&gt;"",IF(ISNA(VLOOKUP($N74,OFFSET(選手情報!$A$6:$M$119,BB74,0),13,FALSE)),"","/"&amp;VLOOKUP($N74,OFFSET(選手情報!$A$6:$M$119,BB74,0),13,FALSE)),"")</f>
        <v/>
      </c>
      <c r="BD74" s="127" t="str">
        <f ca="1">IF(BB74&lt;&gt;"",IF(ISNA(VLOOKUP($N74,OFFSET(選手情報!$A$6:$BD$119,BB74,0),56,FALSE)),"",VLOOKUP($N74,OFFSET(選手情報!$A$6:$BD$119,BB74,0),56,FALSE)),"")</f>
        <v/>
      </c>
      <c r="BE74" s="127" t="str">
        <f ca="1">IF(BD74&lt;&gt;"",IF(ISNA(VLOOKUP($N74,OFFSET(選手情報!$A$6:$M$119,BD74,0),13,FALSE)),"","/"&amp;VLOOKUP($N74,OFFSET(選手情報!$A$6:$M$119,BD74,0),13,FALSE)),"")</f>
        <v/>
      </c>
      <c r="BF74" s="127" t="str">
        <f ca="1">IF(BD74&lt;&gt;"",IF(ISNA(VLOOKUP($N74,OFFSET(選手情報!$A$6:$BD$119,BD74,0),56,FALSE)),"",VLOOKUP($N74,OFFSET(選手情報!$A$6:$BD$119,BD74,0),56,FALSE)),"")</f>
        <v/>
      </c>
      <c r="BG74" s="127" t="str">
        <f ca="1">IF(BF74&lt;&gt;"",IF(ISNA(VLOOKUP($N74,OFFSET(選手情報!$A$6:$M$119,BF74,0),13,FALSE)),"","/"&amp;VLOOKUP($N74,OFFSET(選手情報!$A$6:$M$119,BF74,0),13,FALSE)),"")</f>
        <v/>
      </c>
      <c r="BH74" s="127" t="str">
        <f ca="1">IF(BF74&lt;&gt;"",IF(ISNA(VLOOKUP($N74,OFFSET(選手情報!$A$6:$BD$119,BF74,0),56,FALSE)),"",VLOOKUP($N74,OFFSET(選手情報!$A$6:$BD$119,BF74,0),56,FALSE)),"")</f>
        <v/>
      </c>
      <c r="BI74" s="127" t="str">
        <f ca="1">IF(BH74&lt;&gt;"",IF(ISNA(VLOOKUP($N74,OFFSET(選手情報!$A$6:$M$119,BH74,0),13,FALSE)),"","/"&amp;VLOOKUP($N74,OFFSET(選手情報!$A$6:$M$119,BH74,0),13,FALSE)),"")</f>
        <v/>
      </c>
    </row>
    <row r="75" spans="1:61" s="127" customFormat="1" ht="12.6" customHeight="1">
      <c r="A75" s="128" t="str">
        <f>IF(ISNA(VLOOKUP($C$2&amp;N75,選手データ!A:H,3,FALSE)),"",IF(M75&lt;&gt;M74,VLOOKUP($C$2&amp;N75,選手データ!A:H,3,FALSE),""))</f>
        <v/>
      </c>
      <c r="B75" s="129" t="str">
        <f>IF(A75&lt;&gt;"",VLOOKUP($C$2&amp;N75,選手データ!A:H,4,FALSE),"")</f>
        <v/>
      </c>
      <c r="C75" s="129" t="str">
        <f>IF(A75&lt;&gt;"",VLOOKUP($C$2&amp;N75,選手データ!A:H,5,FALSE),"")</f>
        <v/>
      </c>
      <c r="D75" s="129" t="str">
        <f>IF(A75&lt;&gt;"",VLOOKUP($C$2&amp;N75,選手データ!A:H,6,FALSE),"")</f>
        <v/>
      </c>
      <c r="E75" s="129" t="str">
        <f>IF(A75&lt;&gt;"",VLOOKUP($C$2&amp;N75,選手データ!A:H,7,FALSE),"")</f>
        <v/>
      </c>
      <c r="F75" s="130" t="str">
        <f>IF(A75&lt;&gt;"",VLOOKUP($C$2&amp;N75,選手データ!A:H,8,FALSE),"")</f>
        <v/>
      </c>
      <c r="G75" s="130" t="str">
        <f>IF(F75&lt;&gt;"",IF(DATEDIF(F75,設定!$B$12,"Y")&lt;20,"〇",""),"")</f>
        <v/>
      </c>
      <c r="H75" s="131" t="str">
        <f t="shared" ca="1" si="0"/>
        <v/>
      </c>
      <c r="I75" s="132" t="str">
        <f t="shared" ca="1" si="1"/>
        <v/>
      </c>
      <c r="J75" s="131" t="str">
        <f t="shared" ca="1" si="2"/>
        <v/>
      </c>
      <c r="K75" s="130" t="str">
        <f>IF(A75&lt;&gt;"",IF(COUNTIF(リレーチーム情報!$B$5:$B$10,A75&amp;E75)=1,"〇",""),"")</f>
        <v/>
      </c>
      <c r="L75" s="133" t="str">
        <f>IF(A75&lt;&gt;"",IF(COUNTIF(リレーチーム情報!$B$11:$B$16,A75&amp;E75)=1,"〇",""),"")</f>
        <v/>
      </c>
      <c r="M75" s="127">
        <f>IF(学校情報!$A$4&lt;&gt;"",0,IF(S74=0,MAX($M$37:M74)+1,M74))</f>
        <v>0</v>
      </c>
      <c r="N75" s="127" t="str">
        <f>IF(M75&lt;&gt;0,VLOOKUP(M75,選手情報!BF:BG,2,FALSE),"")</f>
        <v/>
      </c>
      <c r="O75" s="127" t="str">
        <f ca="1">IF(M75&lt;&gt;0,VLOOKUP(N75,OFFSET(選手情報!$A$6:$W$119,IF(M75&lt;&gt;M74,0,R74),0),13,FALSE),"")</f>
        <v/>
      </c>
      <c r="P75" s="127" t="str">
        <f ca="1">IF(M75&lt;&gt;0,VLOOKUP(N75,OFFSET(選手情報!$A$6:$W$119,IF(M75&lt;&gt;M74,0,R74),0),16,FALSE),"")</f>
        <v/>
      </c>
      <c r="Q75" s="127" t="str">
        <f ca="1">IF(M75&lt;&gt;0,VLOOKUP(N75,OFFSET(選手情報!$A$6:$W$119,IF(M75&lt;&gt;M74,0,R74),0),21,FALSE),"")</f>
        <v/>
      </c>
      <c r="R75" s="127">
        <f ca="1">IF(M75&lt;&gt;0,VLOOKUP(N75,OFFSET(選手情報!$A$6:$BD$119,IF(M75&lt;&gt;M74,0,R74),0),56,FALSE),0)</f>
        <v>0</v>
      </c>
      <c r="S75" s="127">
        <f ca="1">IF(M75&lt;&gt;0,IF(ISNA(R75),0,COUNTIF(OFFSET(選手情報!$A$6:$A$119,R75,0),N75)),0)</f>
        <v>0</v>
      </c>
      <c r="U75" s="127">
        <f t="shared" si="3"/>
        <v>0</v>
      </c>
      <c r="V75" s="127">
        <f t="shared" ca="1" si="4"/>
        <v>1</v>
      </c>
      <c r="W75" s="127">
        <f t="shared" ca="1" si="5"/>
        <v>0</v>
      </c>
      <c r="X75" s="127" t="str">
        <f t="shared" ca="1" si="6"/>
        <v/>
      </c>
      <c r="Y75" s="127" t="str">
        <f>IF($A75&lt;&gt;"",IF(ISNA(VLOOKUP($N75,選手情報!$A$6:$M$119,13,FALSE)),"","/"&amp;VLOOKUP($N75,選手情報!$A$6:$M$119,13,FALSE)),"")</f>
        <v/>
      </c>
      <c r="Z75" s="127" t="str">
        <f ca="1">IF(Y75&lt;&gt;"",IF(ISNA(VLOOKUP($N75,OFFSET(選手情報!$A$6:$BD$119,0,0),56,FALSE)),"",VLOOKUP($N75,OFFSET(選手情報!$A$6:$BD$119,0,0),56,FALSE)),"")</f>
        <v/>
      </c>
      <c r="AA75" s="127" t="str">
        <f ca="1">IF(Z75&lt;&gt;"",IF(ISNA(VLOOKUP($N75,OFFSET(選手情報!$A$6:$M$119,Z75,0),13,FALSE)),"","/"&amp;VLOOKUP($N75,OFFSET(選手情報!$A$6:$M$119,Z75,0),13,FALSE)),"")</f>
        <v/>
      </c>
      <c r="AB75" s="127" t="str">
        <f ca="1">IF(Z75&lt;&gt;"",IF(ISNA(VLOOKUP($N75,OFFSET(選手情報!$A$6:$BD$119,Z75,0),56,FALSE)),"",VLOOKUP($N75,OFFSET(選手情報!$A$6:$BD$119,Z75,0),56,FALSE)),"")</f>
        <v/>
      </c>
      <c r="AC75" s="127" t="str">
        <f ca="1">IF(AB75&lt;&gt;"",IF(ISNA(VLOOKUP($N75,OFFSET(選手情報!$A$6:$M$119,AB75,0),13,FALSE)),"","/"&amp;VLOOKUP($N75,OFFSET(選手情報!$A$6:$M$119,AB75,0),13,FALSE)),"")</f>
        <v/>
      </c>
      <c r="AD75" s="127" t="str">
        <f ca="1">IF(AB75&lt;&gt;"",IF(ISNA(VLOOKUP($N75,OFFSET(選手情報!$A$6:$BD$119,AB75,0),56,FALSE)),"",VLOOKUP($N75,OFFSET(選手情報!$A$6:$BD$119,AB75,0),56,FALSE)),"")</f>
        <v/>
      </c>
      <c r="AE75" s="127" t="str">
        <f ca="1">IF(AD75&lt;&gt;"",IF(ISNA(VLOOKUP($N75,OFFSET(選手情報!$A$6:$M$119,AD75,0),13,FALSE)),"","/"&amp;VLOOKUP($N75,OFFSET(選手情報!$A$6:$M$119,AD75,0),13,FALSE)),"")</f>
        <v/>
      </c>
      <c r="AF75" s="127" t="str">
        <f ca="1">IF(AD75&lt;&gt;"",IF(ISNA(VLOOKUP($N75,OFFSET(選手情報!$A$6:$BD$119,AD75,0),56,FALSE)),"",VLOOKUP($N75,OFFSET(選手情報!$A$6:$BD$119,AD75,0),56,FALSE)),"")</f>
        <v/>
      </c>
      <c r="AG75" s="127" t="str">
        <f ca="1">IF(AF75&lt;&gt;"",IF(ISNA(VLOOKUP($N75,OFFSET(選手情報!$A$6:$M$119,AF75,0),13,FALSE)),"","/"&amp;VLOOKUP($N75,OFFSET(選手情報!$A$6:$M$119,AF75,0),13,FALSE)),"")</f>
        <v/>
      </c>
      <c r="AH75" s="127" t="str">
        <f ca="1">IF(AF75&lt;&gt;"",IF(ISNA(VLOOKUP($N75,OFFSET(選手情報!$A$6:$BD$119,AF75,0),56,FALSE)),"",VLOOKUP($N75,OFFSET(選手情報!$A$6:$BD$119,AF75,0),56,FALSE)),"")</f>
        <v/>
      </c>
      <c r="AI75" s="127" t="str">
        <f ca="1">IF(AH75&lt;&gt;"",IF(ISNA(VLOOKUP($N75,OFFSET(選手情報!$A$6:$M$119,AH75,0),13,FALSE)),"","/"&amp;VLOOKUP($N75,OFFSET(選手情報!$A$6:$M$119,AH75,0),13,FALSE)),"")</f>
        <v/>
      </c>
      <c r="AJ75" s="127" t="str">
        <f ca="1">IF(AH75&lt;&gt;"",IF(ISNA(VLOOKUP($N75,OFFSET(選手情報!$A$6:$BD$119,AH75,0),56,FALSE)),"",VLOOKUP($N75,OFFSET(選手情報!$A$6:$BD$119,AH75,0),56,FALSE)),"")</f>
        <v/>
      </c>
      <c r="AK75" s="127" t="str">
        <f ca="1">IF(AJ75&lt;&gt;"",IF(ISNA(VLOOKUP($N75,OFFSET(選手情報!$A$6:$M$119,AJ75,0),13,FALSE)),"","/"&amp;VLOOKUP($N75,OFFSET(選手情報!$A$6:$M$119,AJ75,0),13,FALSE)),"")</f>
        <v/>
      </c>
      <c r="AL75" s="127" t="str">
        <f ca="1">IF(AJ75&lt;&gt;"",IF(ISNA(VLOOKUP($N75,OFFSET(選手情報!$A$6:$BD$119,AJ75,0),56,FALSE)),"",VLOOKUP($N75,OFFSET(選手情報!$A$6:$BD$119,AJ75,0),56,FALSE)),"")</f>
        <v/>
      </c>
      <c r="AM75" s="127" t="str">
        <f ca="1">IF(AL75&lt;&gt;"",IF(ISNA(VLOOKUP($N75,OFFSET(選手情報!$A$6:$M$119,AL75,0),13,FALSE)),"","/"&amp;VLOOKUP($N75,OFFSET(選手情報!$A$6:$M$119,AL75,0),13,FALSE)),"")</f>
        <v/>
      </c>
      <c r="AN75" s="127" t="str">
        <f ca="1">IF(AL75&lt;&gt;"",IF(ISNA(VLOOKUP($N75,OFFSET(選手情報!$A$6:$BD$119,AL75,0),56,FALSE)),"",VLOOKUP($N75,OFFSET(選手情報!$A$6:$BD$119,AL75,0),56,FALSE)),"")</f>
        <v/>
      </c>
      <c r="AO75" s="127" t="str">
        <f ca="1">IF(AN75&lt;&gt;"",IF(ISNA(VLOOKUP($N75,OFFSET(選手情報!$A$6:$M$119,AN75,0),13,FALSE)),"","/"&amp;VLOOKUP($N75,OFFSET(選手情報!$A$6:$M$119,AN75,0),13,FALSE)),"")</f>
        <v/>
      </c>
      <c r="AP75" s="127" t="str">
        <f ca="1">IF(AN75&lt;&gt;"",IF(ISNA(VLOOKUP($N75,OFFSET(選手情報!$A$6:$BD$119,AN75,0),56,FALSE)),"",VLOOKUP($N75,OFFSET(選手情報!$A$6:$BD$119,AN75,0),56,FALSE)),"")</f>
        <v/>
      </c>
      <c r="AQ75" s="127" t="str">
        <f ca="1">IF(AP75&lt;&gt;"",IF(ISNA(VLOOKUP($N75,OFFSET(選手情報!$A$6:$M$119,AP75,0),13,FALSE)),"","/"&amp;VLOOKUP($N75,OFFSET(選手情報!$A$6:$M$119,AP75,0),13,FALSE)),"")</f>
        <v/>
      </c>
      <c r="AR75" s="127" t="str">
        <f ca="1">IF(AP75&lt;&gt;"",IF(ISNA(VLOOKUP($N75,OFFSET(選手情報!$A$6:$BD$119,AP75,0),56,FALSE)),"",VLOOKUP($N75,OFFSET(選手情報!$A$6:$BD$119,AP75,0),56,FALSE)),"")</f>
        <v/>
      </c>
      <c r="AS75" s="127" t="str">
        <f ca="1">IF(AR75&lt;&gt;"",IF(ISNA(VLOOKUP($N75,OFFSET(選手情報!$A$6:$M$119,AR75,0),13,FALSE)),"","/"&amp;VLOOKUP($N75,OFFSET(選手情報!$A$6:$M$119,AR75,0),13,FALSE)),"")</f>
        <v/>
      </c>
      <c r="AT75" s="127" t="str">
        <f ca="1">IF(AR75&lt;&gt;"",IF(ISNA(VLOOKUP($N75,OFFSET(選手情報!$A$6:$BD$119,AR75,0),56,FALSE)),"",VLOOKUP($N75,OFFSET(選手情報!$A$6:$BD$119,AR75,0),56,FALSE)),"")</f>
        <v/>
      </c>
      <c r="AU75" s="127" t="str">
        <f ca="1">IF(AT75&lt;&gt;"",IF(ISNA(VLOOKUP($N75,OFFSET(選手情報!$A$6:$M$119,AT75,0),13,FALSE)),"","/"&amp;VLOOKUP($N75,OFFSET(選手情報!$A$6:$M$119,AT75,0),13,FALSE)),"")</f>
        <v/>
      </c>
      <c r="AV75" s="127" t="str">
        <f ca="1">IF(AT75&lt;&gt;"",IF(ISNA(VLOOKUP($N75,OFFSET(選手情報!$A$6:$BD$119,AT75,0),56,FALSE)),"",VLOOKUP($N75,OFFSET(選手情報!$A$6:$BD$119,AT75,0),56,FALSE)),"")</f>
        <v/>
      </c>
      <c r="AW75" s="127" t="str">
        <f ca="1">IF(AV75&lt;&gt;"",IF(ISNA(VLOOKUP($N75,OFFSET(選手情報!$A$6:$M$119,AV75,0),13,FALSE)),"","/"&amp;VLOOKUP($N75,OFFSET(選手情報!$A$6:$M$119,AV75,0),13,FALSE)),"")</f>
        <v/>
      </c>
      <c r="AX75" s="127" t="str">
        <f ca="1">IF(AV75&lt;&gt;"",IF(ISNA(VLOOKUP($N75,OFFSET(選手情報!$A$6:$BD$119,AV75,0),56,FALSE)),"",VLOOKUP($N75,OFFSET(選手情報!$A$6:$BD$119,AV75,0),56,FALSE)),"")</f>
        <v/>
      </c>
      <c r="AY75" s="127" t="str">
        <f ca="1">IF(AX75&lt;&gt;"",IF(ISNA(VLOOKUP($N75,OFFSET(選手情報!$A$6:$M$119,AX75,0),13,FALSE)),"","/"&amp;VLOOKUP($N75,OFFSET(選手情報!$A$6:$M$119,AX75,0),13,FALSE)),"")</f>
        <v/>
      </c>
      <c r="AZ75" s="127" t="str">
        <f ca="1">IF(AX75&lt;&gt;"",IF(ISNA(VLOOKUP($N75,OFFSET(選手情報!$A$6:$BD$119,AX75,0),56,FALSE)),"",VLOOKUP($N75,OFFSET(選手情報!$A$6:$BD$119,AX75,0),56,FALSE)),"")</f>
        <v/>
      </c>
      <c r="BA75" s="127" t="str">
        <f ca="1">IF(AZ75&lt;&gt;"",IF(ISNA(VLOOKUP($N75,OFFSET(選手情報!$A$6:$M$119,AZ75,0),13,FALSE)),"","/"&amp;VLOOKUP($N75,OFFSET(選手情報!$A$6:$M$119,AZ75,0),13,FALSE)),"")</f>
        <v/>
      </c>
      <c r="BB75" s="127" t="str">
        <f ca="1">IF(AZ75&lt;&gt;"",IF(ISNA(VLOOKUP($N75,OFFSET(選手情報!$A$6:$BD$119,AZ75,0),56,FALSE)),"",VLOOKUP($N75,OFFSET(選手情報!$A$6:$BD$119,AZ75,0),56,FALSE)),"")</f>
        <v/>
      </c>
      <c r="BC75" s="127" t="str">
        <f ca="1">IF(BB75&lt;&gt;"",IF(ISNA(VLOOKUP($N75,OFFSET(選手情報!$A$6:$M$119,BB75,0),13,FALSE)),"","/"&amp;VLOOKUP($N75,OFFSET(選手情報!$A$6:$M$119,BB75,0),13,FALSE)),"")</f>
        <v/>
      </c>
      <c r="BD75" s="127" t="str">
        <f ca="1">IF(BB75&lt;&gt;"",IF(ISNA(VLOOKUP($N75,OFFSET(選手情報!$A$6:$BD$119,BB75,0),56,FALSE)),"",VLOOKUP($N75,OFFSET(選手情報!$A$6:$BD$119,BB75,0),56,FALSE)),"")</f>
        <v/>
      </c>
      <c r="BE75" s="127" t="str">
        <f ca="1">IF(BD75&lt;&gt;"",IF(ISNA(VLOOKUP($N75,OFFSET(選手情報!$A$6:$M$119,BD75,0),13,FALSE)),"","/"&amp;VLOOKUP($N75,OFFSET(選手情報!$A$6:$M$119,BD75,0),13,FALSE)),"")</f>
        <v/>
      </c>
      <c r="BF75" s="127" t="str">
        <f ca="1">IF(BD75&lt;&gt;"",IF(ISNA(VLOOKUP($N75,OFFSET(選手情報!$A$6:$BD$119,BD75,0),56,FALSE)),"",VLOOKUP($N75,OFFSET(選手情報!$A$6:$BD$119,BD75,0),56,FALSE)),"")</f>
        <v/>
      </c>
      <c r="BG75" s="127" t="str">
        <f ca="1">IF(BF75&lt;&gt;"",IF(ISNA(VLOOKUP($N75,OFFSET(選手情報!$A$6:$M$119,BF75,0),13,FALSE)),"","/"&amp;VLOOKUP($N75,OFFSET(選手情報!$A$6:$M$119,BF75,0),13,FALSE)),"")</f>
        <v/>
      </c>
      <c r="BH75" s="127" t="str">
        <f ca="1">IF(BF75&lt;&gt;"",IF(ISNA(VLOOKUP($N75,OFFSET(選手情報!$A$6:$BD$119,BF75,0),56,FALSE)),"",VLOOKUP($N75,OFFSET(選手情報!$A$6:$BD$119,BF75,0),56,FALSE)),"")</f>
        <v/>
      </c>
      <c r="BI75" s="127" t="str">
        <f ca="1">IF(BH75&lt;&gt;"",IF(ISNA(VLOOKUP($N75,OFFSET(選手情報!$A$6:$M$119,BH75,0),13,FALSE)),"","/"&amp;VLOOKUP($N75,OFFSET(選手情報!$A$6:$M$119,BH75,0),13,FALSE)),"")</f>
        <v/>
      </c>
    </row>
    <row r="76" spans="1:61" s="127" customFormat="1" ht="12.6" customHeight="1">
      <c r="A76" s="128" t="str">
        <f>IF(ISNA(VLOOKUP($C$2&amp;N76,選手データ!A:H,3,FALSE)),"",IF(M76&lt;&gt;M75,VLOOKUP($C$2&amp;N76,選手データ!A:H,3,FALSE),""))</f>
        <v/>
      </c>
      <c r="B76" s="129" t="str">
        <f>IF(A76&lt;&gt;"",VLOOKUP($C$2&amp;N76,選手データ!A:H,4,FALSE),"")</f>
        <v/>
      </c>
      <c r="C76" s="129" t="str">
        <f>IF(A76&lt;&gt;"",VLOOKUP($C$2&amp;N76,選手データ!A:H,5,FALSE),"")</f>
        <v/>
      </c>
      <c r="D76" s="129" t="str">
        <f>IF(A76&lt;&gt;"",VLOOKUP($C$2&amp;N76,選手データ!A:H,6,FALSE),"")</f>
        <v/>
      </c>
      <c r="E76" s="129" t="str">
        <f>IF(A76&lt;&gt;"",VLOOKUP($C$2&amp;N76,選手データ!A:H,7,FALSE),"")</f>
        <v/>
      </c>
      <c r="F76" s="130" t="str">
        <f>IF(A76&lt;&gt;"",VLOOKUP($C$2&amp;N76,選手データ!A:H,8,FALSE),"")</f>
        <v/>
      </c>
      <c r="G76" s="130" t="str">
        <f>IF(F76&lt;&gt;"",IF(DATEDIF(F76,設定!$B$12,"Y")&lt;20,"〇",""),"")</f>
        <v/>
      </c>
      <c r="H76" s="131" t="str">
        <f t="shared" ca="1" si="0"/>
        <v/>
      </c>
      <c r="I76" s="132" t="str">
        <f t="shared" ca="1" si="1"/>
        <v/>
      </c>
      <c r="J76" s="131" t="str">
        <f t="shared" ca="1" si="2"/>
        <v/>
      </c>
      <c r="K76" s="130" t="str">
        <f>IF(A76&lt;&gt;"",IF(COUNTIF(リレーチーム情報!$B$5:$B$10,A76&amp;E76)=1,"〇",""),"")</f>
        <v/>
      </c>
      <c r="L76" s="133" t="str">
        <f>IF(A76&lt;&gt;"",IF(COUNTIF(リレーチーム情報!$B$11:$B$16,A76&amp;E76)=1,"〇",""),"")</f>
        <v/>
      </c>
      <c r="M76" s="127">
        <f>IF(学校情報!$A$4&lt;&gt;"",0,IF(S75=0,MAX($M$37:M75)+1,M75))</f>
        <v>0</v>
      </c>
      <c r="N76" s="127" t="str">
        <f>IF(M76&lt;&gt;0,VLOOKUP(M76,選手情報!BF:BG,2,FALSE),"")</f>
        <v/>
      </c>
      <c r="O76" s="127" t="str">
        <f ca="1">IF(M76&lt;&gt;0,VLOOKUP(N76,OFFSET(選手情報!$A$6:$W$119,IF(M76&lt;&gt;M75,0,R75),0),13,FALSE),"")</f>
        <v/>
      </c>
      <c r="P76" s="127" t="str">
        <f ca="1">IF(M76&lt;&gt;0,VLOOKUP(N76,OFFSET(選手情報!$A$6:$W$119,IF(M76&lt;&gt;M75,0,R75),0),16,FALSE),"")</f>
        <v/>
      </c>
      <c r="Q76" s="127" t="str">
        <f ca="1">IF(M76&lt;&gt;0,VLOOKUP(N76,OFFSET(選手情報!$A$6:$W$119,IF(M76&lt;&gt;M75,0,R75),0),21,FALSE),"")</f>
        <v/>
      </c>
      <c r="R76" s="127">
        <f ca="1">IF(M76&lt;&gt;0,VLOOKUP(N76,OFFSET(選手情報!$A$6:$BD$119,IF(M76&lt;&gt;M75,0,R75),0),56,FALSE),0)</f>
        <v>0</v>
      </c>
      <c r="S76" s="127">
        <f ca="1">IF(M76&lt;&gt;0,IF(ISNA(R76),0,COUNTIF(OFFSET(選手情報!$A$6:$A$119,R76,0),N76)),0)</f>
        <v>0</v>
      </c>
      <c r="U76" s="127">
        <f t="shared" si="3"/>
        <v>0</v>
      </c>
      <c r="V76" s="127">
        <f t="shared" ca="1" si="4"/>
        <v>1</v>
      </c>
      <c r="W76" s="127">
        <f t="shared" ca="1" si="5"/>
        <v>0</v>
      </c>
      <c r="X76" s="127" t="str">
        <f t="shared" ca="1" si="6"/>
        <v/>
      </c>
      <c r="Y76" s="127" t="str">
        <f>IF($A76&lt;&gt;"",IF(ISNA(VLOOKUP($N76,選手情報!$A$6:$M$119,13,FALSE)),"","/"&amp;VLOOKUP($N76,選手情報!$A$6:$M$119,13,FALSE)),"")</f>
        <v/>
      </c>
      <c r="Z76" s="127" t="str">
        <f ca="1">IF(Y76&lt;&gt;"",IF(ISNA(VLOOKUP($N76,OFFSET(選手情報!$A$6:$BD$119,0,0),56,FALSE)),"",VLOOKUP($N76,OFFSET(選手情報!$A$6:$BD$119,0,0),56,FALSE)),"")</f>
        <v/>
      </c>
      <c r="AA76" s="127" t="str">
        <f ca="1">IF(Z76&lt;&gt;"",IF(ISNA(VLOOKUP($N76,OFFSET(選手情報!$A$6:$M$119,Z76,0),13,FALSE)),"","/"&amp;VLOOKUP($N76,OFFSET(選手情報!$A$6:$M$119,Z76,0),13,FALSE)),"")</f>
        <v/>
      </c>
      <c r="AB76" s="127" t="str">
        <f ca="1">IF(Z76&lt;&gt;"",IF(ISNA(VLOOKUP($N76,OFFSET(選手情報!$A$6:$BD$119,Z76,0),56,FALSE)),"",VLOOKUP($N76,OFFSET(選手情報!$A$6:$BD$119,Z76,0),56,FALSE)),"")</f>
        <v/>
      </c>
      <c r="AC76" s="127" t="str">
        <f ca="1">IF(AB76&lt;&gt;"",IF(ISNA(VLOOKUP($N76,OFFSET(選手情報!$A$6:$M$119,AB76,0),13,FALSE)),"","/"&amp;VLOOKUP($N76,OFFSET(選手情報!$A$6:$M$119,AB76,0),13,FALSE)),"")</f>
        <v/>
      </c>
      <c r="AD76" s="127" t="str">
        <f ca="1">IF(AB76&lt;&gt;"",IF(ISNA(VLOOKUP($N76,OFFSET(選手情報!$A$6:$BD$119,AB76,0),56,FALSE)),"",VLOOKUP($N76,OFFSET(選手情報!$A$6:$BD$119,AB76,0),56,FALSE)),"")</f>
        <v/>
      </c>
      <c r="AE76" s="127" t="str">
        <f ca="1">IF(AD76&lt;&gt;"",IF(ISNA(VLOOKUP($N76,OFFSET(選手情報!$A$6:$M$119,AD76,0),13,FALSE)),"","/"&amp;VLOOKUP($N76,OFFSET(選手情報!$A$6:$M$119,AD76,0),13,FALSE)),"")</f>
        <v/>
      </c>
      <c r="AF76" s="127" t="str">
        <f ca="1">IF(AD76&lt;&gt;"",IF(ISNA(VLOOKUP($N76,OFFSET(選手情報!$A$6:$BD$119,AD76,0),56,FALSE)),"",VLOOKUP($N76,OFFSET(選手情報!$A$6:$BD$119,AD76,0),56,FALSE)),"")</f>
        <v/>
      </c>
      <c r="AG76" s="127" t="str">
        <f ca="1">IF(AF76&lt;&gt;"",IF(ISNA(VLOOKUP($N76,OFFSET(選手情報!$A$6:$M$119,AF76,0),13,FALSE)),"","/"&amp;VLOOKUP($N76,OFFSET(選手情報!$A$6:$M$119,AF76,0),13,FALSE)),"")</f>
        <v/>
      </c>
      <c r="AH76" s="127" t="str">
        <f ca="1">IF(AF76&lt;&gt;"",IF(ISNA(VLOOKUP($N76,OFFSET(選手情報!$A$6:$BD$119,AF76,0),56,FALSE)),"",VLOOKUP($N76,OFFSET(選手情報!$A$6:$BD$119,AF76,0),56,FALSE)),"")</f>
        <v/>
      </c>
      <c r="AI76" s="127" t="str">
        <f ca="1">IF(AH76&lt;&gt;"",IF(ISNA(VLOOKUP($N76,OFFSET(選手情報!$A$6:$M$119,AH76,0),13,FALSE)),"","/"&amp;VLOOKUP($N76,OFFSET(選手情報!$A$6:$M$119,AH76,0),13,FALSE)),"")</f>
        <v/>
      </c>
      <c r="AJ76" s="127" t="str">
        <f ca="1">IF(AH76&lt;&gt;"",IF(ISNA(VLOOKUP($N76,OFFSET(選手情報!$A$6:$BD$119,AH76,0),56,FALSE)),"",VLOOKUP($N76,OFFSET(選手情報!$A$6:$BD$119,AH76,0),56,FALSE)),"")</f>
        <v/>
      </c>
      <c r="AK76" s="127" t="str">
        <f ca="1">IF(AJ76&lt;&gt;"",IF(ISNA(VLOOKUP($N76,OFFSET(選手情報!$A$6:$M$119,AJ76,0),13,FALSE)),"","/"&amp;VLOOKUP($N76,OFFSET(選手情報!$A$6:$M$119,AJ76,0),13,FALSE)),"")</f>
        <v/>
      </c>
      <c r="AL76" s="127" t="str">
        <f ca="1">IF(AJ76&lt;&gt;"",IF(ISNA(VLOOKUP($N76,OFFSET(選手情報!$A$6:$BD$119,AJ76,0),56,FALSE)),"",VLOOKUP($N76,OFFSET(選手情報!$A$6:$BD$119,AJ76,0),56,FALSE)),"")</f>
        <v/>
      </c>
      <c r="AM76" s="127" t="str">
        <f ca="1">IF(AL76&lt;&gt;"",IF(ISNA(VLOOKUP($N76,OFFSET(選手情報!$A$6:$M$119,AL76,0),13,FALSE)),"","/"&amp;VLOOKUP($N76,OFFSET(選手情報!$A$6:$M$119,AL76,0),13,FALSE)),"")</f>
        <v/>
      </c>
      <c r="AN76" s="127" t="str">
        <f ca="1">IF(AL76&lt;&gt;"",IF(ISNA(VLOOKUP($N76,OFFSET(選手情報!$A$6:$BD$119,AL76,0),56,FALSE)),"",VLOOKUP($N76,OFFSET(選手情報!$A$6:$BD$119,AL76,0),56,FALSE)),"")</f>
        <v/>
      </c>
      <c r="AO76" s="127" t="str">
        <f ca="1">IF(AN76&lt;&gt;"",IF(ISNA(VLOOKUP($N76,OFFSET(選手情報!$A$6:$M$119,AN76,0),13,FALSE)),"","/"&amp;VLOOKUP($N76,OFFSET(選手情報!$A$6:$M$119,AN76,0),13,FALSE)),"")</f>
        <v/>
      </c>
      <c r="AP76" s="127" t="str">
        <f ca="1">IF(AN76&lt;&gt;"",IF(ISNA(VLOOKUP($N76,OFFSET(選手情報!$A$6:$BD$119,AN76,0),56,FALSE)),"",VLOOKUP($N76,OFFSET(選手情報!$A$6:$BD$119,AN76,0),56,FALSE)),"")</f>
        <v/>
      </c>
      <c r="AQ76" s="127" t="str">
        <f ca="1">IF(AP76&lt;&gt;"",IF(ISNA(VLOOKUP($N76,OFFSET(選手情報!$A$6:$M$119,AP76,0),13,FALSE)),"","/"&amp;VLOOKUP($N76,OFFSET(選手情報!$A$6:$M$119,AP76,0),13,FALSE)),"")</f>
        <v/>
      </c>
      <c r="AR76" s="127" t="str">
        <f ca="1">IF(AP76&lt;&gt;"",IF(ISNA(VLOOKUP($N76,OFFSET(選手情報!$A$6:$BD$119,AP76,0),56,FALSE)),"",VLOOKUP($N76,OFFSET(選手情報!$A$6:$BD$119,AP76,0),56,FALSE)),"")</f>
        <v/>
      </c>
      <c r="AS76" s="127" t="str">
        <f ca="1">IF(AR76&lt;&gt;"",IF(ISNA(VLOOKUP($N76,OFFSET(選手情報!$A$6:$M$119,AR76,0),13,FALSE)),"","/"&amp;VLOOKUP($N76,OFFSET(選手情報!$A$6:$M$119,AR76,0),13,FALSE)),"")</f>
        <v/>
      </c>
      <c r="AT76" s="127" t="str">
        <f ca="1">IF(AR76&lt;&gt;"",IF(ISNA(VLOOKUP($N76,OFFSET(選手情報!$A$6:$BD$119,AR76,0),56,FALSE)),"",VLOOKUP($N76,OFFSET(選手情報!$A$6:$BD$119,AR76,0),56,FALSE)),"")</f>
        <v/>
      </c>
      <c r="AU76" s="127" t="str">
        <f ca="1">IF(AT76&lt;&gt;"",IF(ISNA(VLOOKUP($N76,OFFSET(選手情報!$A$6:$M$119,AT76,0),13,FALSE)),"","/"&amp;VLOOKUP($N76,OFFSET(選手情報!$A$6:$M$119,AT76,0),13,FALSE)),"")</f>
        <v/>
      </c>
      <c r="AV76" s="127" t="str">
        <f ca="1">IF(AT76&lt;&gt;"",IF(ISNA(VLOOKUP($N76,OFFSET(選手情報!$A$6:$BD$119,AT76,0),56,FALSE)),"",VLOOKUP($N76,OFFSET(選手情報!$A$6:$BD$119,AT76,0),56,FALSE)),"")</f>
        <v/>
      </c>
      <c r="AW76" s="127" t="str">
        <f ca="1">IF(AV76&lt;&gt;"",IF(ISNA(VLOOKUP($N76,OFFSET(選手情報!$A$6:$M$119,AV76,0),13,FALSE)),"","/"&amp;VLOOKUP($N76,OFFSET(選手情報!$A$6:$M$119,AV76,0),13,FALSE)),"")</f>
        <v/>
      </c>
      <c r="AX76" s="127" t="str">
        <f ca="1">IF(AV76&lt;&gt;"",IF(ISNA(VLOOKUP($N76,OFFSET(選手情報!$A$6:$BD$119,AV76,0),56,FALSE)),"",VLOOKUP($N76,OFFSET(選手情報!$A$6:$BD$119,AV76,0),56,FALSE)),"")</f>
        <v/>
      </c>
      <c r="AY76" s="127" t="str">
        <f ca="1">IF(AX76&lt;&gt;"",IF(ISNA(VLOOKUP($N76,OFFSET(選手情報!$A$6:$M$119,AX76,0),13,FALSE)),"","/"&amp;VLOOKUP($N76,OFFSET(選手情報!$A$6:$M$119,AX76,0),13,FALSE)),"")</f>
        <v/>
      </c>
      <c r="AZ76" s="127" t="str">
        <f ca="1">IF(AX76&lt;&gt;"",IF(ISNA(VLOOKUP($N76,OFFSET(選手情報!$A$6:$BD$119,AX76,0),56,FALSE)),"",VLOOKUP($N76,OFFSET(選手情報!$A$6:$BD$119,AX76,0),56,FALSE)),"")</f>
        <v/>
      </c>
      <c r="BA76" s="127" t="str">
        <f ca="1">IF(AZ76&lt;&gt;"",IF(ISNA(VLOOKUP($N76,OFFSET(選手情報!$A$6:$M$119,AZ76,0),13,FALSE)),"","/"&amp;VLOOKUP($N76,OFFSET(選手情報!$A$6:$M$119,AZ76,0),13,FALSE)),"")</f>
        <v/>
      </c>
      <c r="BB76" s="127" t="str">
        <f ca="1">IF(AZ76&lt;&gt;"",IF(ISNA(VLOOKUP($N76,OFFSET(選手情報!$A$6:$BD$119,AZ76,0),56,FALSE)),"",VLOOKUP($N76,OFFSET(選手情報!$A$6:$BD$119,AZ76,0),56,FALSE)),"")</f>
        <v/>
      </c>
      <c r="BC76" s="127" t="str">
        <f ca="1">IF(BB76&lt;&gt;"",IF(ISNA(VLOOKUP($N76,OFFSET(選手情報!$A$6:$M$119,BB76,0),13,FALSE)),"","/"&amp;VLOOKUP($N76,OFFSET(選手情報!$A$6:$M$119,BB76,0),13,FALSE)),"")</f>
        <v/>
      </c>
      <c r="BD76" s="127" t="str">
        <f ca="1">IF(BB76&lt;&gt;"",IF(ISNA(VLOOKUP($N76,OFFSET(選手情報!$A$6:$BD$119,BB76,0),56,FALSE)),"",VLOOKUP($N76,OFFSET(選手情報!$A$6:$BD$119,BB76,0),56,FALSE)),"")</f>
        <v/>
      </c>
      <c r="BE76" s="127" t="str">
        <f ca="1">IF(BD76&lt;&gt;"",IF(ISNA(VLOOKUP($N76,OFFSET(選手情報!$A$6:$M$119,BD76,0),13,FALSE)),"","/"&amp;VLOOKUP($N76,OFFSET(選手情報!$A$6:$M$119,BD76,0),13,FALSE)),"")</f>
        <v/>
      </c>
      <c r="BF76" s="127" t="str">
        <f ca="1">IF(BD76&lt;&gt;"",IF(ISNA(VLOOKUP($N76,OFFSET(選手情報!$A$6:$BD$119,BD76,0),56,FALSE)),"",VLOOKUP($N76,OFFSET(選手情報!$A$6:$BD$119,BD76,0),56,FALSE)),"")</f>
        <v/>
      </c>
      <c r="BG76" s="127" t="str">
        <f ca="1">IF(BF76&lt;&gt;"",IF(ISNA(VLOOKUP($N76,OFFSET(選手情報!$A$6:$M$119,BF76,0),13,FALSE)),"","/"&amp;VLOOKUP($N76,OFFSET(選手情報!$A$6:$M$119,BF76,0),13,FALSE)),"")</f>
        <v/>
      </c>
      <c r="BH76" s="127" t="str">
        <f ca="1">IF(BF76&lt;&gt;"",IF(ISNA(VLOOKUP($N76,OFFSET(選手情報!$A$6:$BD$119,BF76,0),56,FALSE)),"",VLOOKUP($N76,OFFSET(選手情報!$A$6:$BD$119,BF76,0),56,FALSE)),"")</f>
        <v/>
      </c>
      <c r="BI76" s="127" t="str">
        <f ca="1">IF(BH76&lt;&gt;"",IF(ISNA(VLOOKUP($N76,OFFSET(選手情報!$A$6:$M$119,BH76,0),13,FALSE)),"","/"&amp;VLOOKUP($N76,OFFSET(選手情報!$A$6:$M$119,BH76,0),13,FALSE)),"")</f>
        <v/>
      </c>
    </row>
    <row r="77" spans="1:61" s="127" customFormat="1" ht="12.6" customHeight="1">
      <c r="A77" s="128" t="str">
        <f>IF(ISNA(VLOOKUP($C$2&amp;N77,選手データ!A:H,3,FALSE)),"",IF(M77&lt;&gt;M76,VLOOKUP($C$2&amp;N77,選手データ!A:H,3,FALSE),""))</f>
        <v/>
      </c>
      <c r="B77" s="129" t="str">
        <f>IF(A77&lt;&gt;"",VLOOKUP($C$2&amp;N77,選手データ!A:H,4,FALSE),"")</f>
        <v/>
      </c>
      <c r="C77" s="129" t="str">
        <f>IF(A77&lt;&gt;"",VLOOKUP($C$2&amp;N77,選手データ!A:H,5,FALSE),"")</f>
        <v/>
      </c>
      <c r="D77" s="129" t="str">
        <f>IF(A77&lt;&gt;"",VLOOKUP($C$2&amp;N77,選手データ!A:H,6,FALSE),"")</f>
        <v/>
      </c>
      <c r="E77" s="129" t="str">
        <f>IF(A77&lt;&gt;"",VLOOKUP($C$2&amp;N77,選手データ!A:H,7,FALSE),"")</f>
        <v/>
      </c>
      <c r="F77" s="130" t="str">
        <f>IF(A77&lt;&gt;"",VLOOKUP($C$2&amp;N77,選手データ!A:H,8,FALSE),"")</f>
        <v/>
      </c>
      <c r="G77" s="130" t="str">
        <f>IF(F77&lt;&gt;"",IF(DATEDIF(F77,設定!$B$12,"Y")&lt;20,"〇",""),"")</f>
        <v/>
      </c>
      <c r="H77" s="131" t="str">
        <f t="shared" ca="1" si="0"/>
        <v/>
      </c>
      <c r="I77" s="132" t="str">
        <f t="shared" ca="1" si="1"/>
        <v/>
      </c>
      <c r="J77" s="131" t="str">
        <f t="shared" ca="1" si="2"/>
        <v/>
      </c>
      <c r="K77" s="130" t="str">
        <f>IF(A77&lt;&gt;"",IF(COUNTIF(リレーチーム情報!$B$5:$B$10,A77&amp;E77)=1,"〇",""),"")</f>
        <v/>
      </c>
      <c r="L77" s="133" t="str">
        <f>IF(A77&lt;&gt;"",IF(COUNTIF(リレーチーム情報!$B$11:$B$16,A77&amp;E77)=1,"〇",""),"")</f>
        <v/>
      </c>
      <c r="M77" s="127">
        <f>IF(学校情報!$A$4&lt;&gt;"",0,IF(S76=0,MAX($M$37:M76)+1,M76))</f>
        <v>0</v>
      </c>
      <c r="N77" s="127" t="str">
        <f>IF(M77&lt;&gt;0,VLOOKUP(M77,選手情報!BF:BG,2,FALSE),"")</f>
        <v/>
      </c>
      <c r="O77" s="127" t="str">
        <f ca="1">IF(M77&lt;&gt;0,VLOOKUP(N77,OFFSET(選手情報!$A$6:$W$119,IF(M77&lt;&gt;M76,0,R76),0),13,FALSE),"")</f>
        <v/>
      </c>
      <c r="P77" s="127" t="str">
        <f ca="1">IF(M77&lt;&gt;0,VLOOKUP(N77,OFFSET(選手情報!$A$6:$W$119,IF(M77&lt;&gt;M76,0,R76),0),16,FALSE),"")</f>
        <v/>
      </c>
      <c r="Q77" s="127" t="str">
        <f ca="1">IF(M77&lt;&gt;0,VLOOKUP(N77,OFFSET(選手情報!$A$6:$W$119,IF(M77&lt;&gt;M76,0,R76),0),21,FALSE),"")</f>
        <v/>
      </c>
      <c r="R77" s="127">
        <f ca="1">IF(M77&lt;&gt;0,VLOOKUP(N77,OFFSET(選手情報!$A$6:$BD$119,IF(M77&lt;&gt;M76,0,R76),0),56,FALSE),0)</f>
        <v>0</v>
      </c>
      <c r="S77" s="127">
        <f ca="1">IF(M77&lt;&gt;0,IF(ISNA(R77),0,COUNTIF(OFFSET(選手情報!$A$6:$A$119,R77,0),N77)),0)</f>
        <v>0</v>
      </c>
      <c r="U77" s="127">
        <f t="shared" si="3"/>
        <v>0</v>
      </c>
      <c r="V77" s="127">
        <f t="shared" ca="1" si="4"/>
        <v>1</v>
      </c>
      <c r="W77" s="127">
        <f t="shared" ca="1" si="5"/>
        <v>0</v>
      </c>
      <c r="X77" s="127" t="str">
        <f t="shared" ca="1" si="6"/>
        <v/>
      </c>
      <c r="Y77" s="127" t="str">
        <f>IF($A77&lt;&gt;"",IF(ISNA(VLOOKUP($N77,選手情報!$A$6:$M$119,13,FALSE)),"","/"&amp;VLOOKUP($N77,選手情報!$A$6:$M$119,13,FALSE)),"")</f>
        <v/>
      </c>
      <c r="Z77" s="127" t="str">
        <f ca="1">IF(Y77&lt;&gt;"",IF(ISNA(VLOOKUP($N77,OFFSET(選手情報!$A$6:$BD$119,0,0),56,FALSE)),"",VLOOKUP($N77,OFFSET(選手情報!$A$6:$BD$119,0,0),56,FALSE)),"")</f>
        <v/>
      </c>
      <c r="AA77" s="127" t="str">
        <f ca="1">IF(Z77&lt;&gt;"",IF(ISNA(VLOOKUP($N77,OFFSET(選手情報!$A$6:$M$119,Z77,0),13,FALSE)),"","/"&amp;VLOOKUP($N77,OFFSET(選手情報!$A$6:$M$119,Z77,0),13,FALSE)),"")</f>
        <v/>
      </c>
      <c r="AB77" s="127" t="str">
        <f ca="1">IF(Z77&lt;&gt;"",IF(ISNA(VLOOKUP($N77,OFFSET(選手情報!$A$6:$BD$119,Z77,0),56,FALSE)),"",VLOOKUP($N77,OFFSET(選手情報!$A$6:$BD$119,Z77,0),56,FALSE)),"")</f>
        <v/>
      </c>
      <c r="AC77" s="127" t="str">
        <f ca="1">IF(AB77&lt;&gt;"",IF(ISNA(VLOOKUP($N77,OFFSET(選手情報!$A$6:$M$119,AB77,0),13,FALSE)),"","/"&amp;VLOOKUP($N77,OFFSET(選手情報!$A$6:$M$119,AB77,0),13,FALSE)),"")</f>
        <v/>
      </c>
      <c r="AD77" s="127" t="str">
        <f ca="1">IF(AB77&lt;&gt;"",IF(ISNA(VLOOKUP($N77,OFFSET(選手情報!$A$6:$BD$119,AB77,0),56,FALSE)),"",VLOOKUP($N77,OFFSET(選手情報!$A$6:$BD$119,AB77,0),56,FALSE)),"")</f>
        <v/>
      </c>
      <c r="AE77" s="127" t="str">
        <f ca="1">IF(AD77&lt;&gt;"",IF(ISNA(VLOOKUP($N77,OFFSET(選手情報!$A$6:$M$119,AD77,0),13,FALSE)),"","/"&amp;VLOOKUP($N77,OFFSET(選手情報!$A$6:$M$119,AD77,0),13,FALSE)),"")</f>
        <v/>
      </c>
      <c r="AF77" s="127" t="str">
        <f ca="1">IF(AD77&lt;&gt;"",IF(ISNA(VLOOKUP($N77,OFFSET(選手情報!$A$6:$BD$119,AD77,0),56,FALSE)),"",VLOOKUP($N77,OFFSET(選手情報!$A$6:$BD$119,AD77,0),56,FALSE)),"")</f>
        <v/>
      </c>
      <c r="AG77" s="127" t="str">
        <f ca="1">IF(AF77&lt;&gt;"",IF(ISNA(VLOOKUP($N77,OFFSET(選手情報!$A$6:$M$119,AF77,0),13,FALSE)),"","/"&amp;VLOOKUP($N77,OFFSET(選手情報!$A$6:$M$119,AF77,0),13,FALSE)),"")</f>
        <v/>
      </c>
      <c r="AH77" s="127" t="str">
        <f ca="1">IF(AF77&lt;&gt;"",IF(ISNA(VLOOKUP($N77,OFFSET(選手情報!$A$6:$BD$119,AF77,0),56,FALSE)),"",VLOOKUP($N77,OFFSET(選手情報!$A$6:$BD$119,AF77,0),56,FALSE)),"")</f>
        <v/>
      </c>
      <c r="AI77" s="127" t="str">
        <f ca="1">IF(AH77&lt;&gt;"",IF(ISNA(VLOOKUP($N77,OFFSET(選手情報!$A$6:$M$119,AH77,0),13,FALSE)),"","/"&amp;VLOOKUP($N77,OFFSET(選手情報!$A$6:$M$119,AH77,0),13,FALSE)),"")</f>
        <v/>
      </c>
      <c r="AJ77" s="127" t="str">
        <f ca="1">IF(AH77&lt;&gt;"",IF(ISNA(VLOOKUP($N77,OFFSET(選手情報!$A$6:$BD$119,AH77,0),56,FALSE)),"",VLOOKUP($N77,OFFSET(選手情報!$A$6:$BD$119,AH77,0),56,FALSE)),"")</f>
        <v/>
      </c>
      <c r="AK77" s="127" t="str">
        <f ca="1">IF(AJ77&lt;&gt;"",IF(ISNA(VLOOKUP($N77,OFFSET(選手情報!$A$6:$M$119,AJ77,0),13,FALSE)),"","/"&amp;VLOOKUP($N77,OFFSET(選手情報!$A$6:$M$119,AJ77,0),13,FALSE)),"")</f>
        <v/>
      </c>
      <c r="AL77" s="127" t="str">
        <f ca="1">IF(AJ77&lt;&gt;"",IF(ISNA(VLOOKUP($N77,OFFSET(選手情報!$A$6:$BD$119,AJ77,0),56,FALSE)),"",VLOOKUP($N77,OFFSET(選手情報!$A$6:$BD$119,AJ77,0),56,FALSE)),"")</f>
        <v/>
      </c>
      <c r="AM77" s="127" t="str">
        <f ca="1">IF(AL77&lt;&gt;"",IF(ISNA(VLOOKUP($N77,OFFSET(選手情報!$A$6:$M$119,AL77,0),13,FALSE)),"","/"&amp;VLOOKUP($N77,OFFSET(選手情報!$A$6:$M$119,AL77,0),13,FALSE)),"")</f>
        <v/>
      </c>
      <c r="AN77" s="127" t="str">
        <f ca="1">IF(AL77&lt;&gt;"",IF(ISNA(VLOOKUP($N77,OFFSET(選手情報!$A$6:$BD$119,AL77,0),56,FALSE)),"",VLOOKUP($N77,OFFSET(選手情報!$A$6:$BD$119,AL77,0),56,FALSE)),"")</f>
        <v/>
      </c>
      <c r="AO77" s="127" t="str">
        <f ca="1">IF(AN77&lt;&gt;"",IF(ISNA(VLOOKUP($N77,OFFSET(選手情報!$A$6:$M$119,AN77,0),13,FALSE)),"","/"&amp;VLOOKUP($N77,OFFSET(選手情報!$A$6:$M$119,AN77,0),13,FALSE)),"")</f>
        <v/>
      </c>
      <c r="AP77" s="127" t="str">
        <f ca="1">IF(AN77&lt;&gt;"",IF(ISNA(VLOOKUP($N77,OFFSET(選手情報!$A$6:$BD$119,AN77,0),56,FALSE)),"",VLOOKUP($N77,OFFSET(選手情報!$A$6:$BD$119,AN77,0),56,FALSE)),"")</f>
        <v/>
      </c>
      <c r="AQ77" s="127" t="str">
        <f ca="1">IF(AP77&lt;&gt;"",IF(ISNA(VLOOKUP($N77,OFFSET(選手情報!$A$6:$M$119,AP77,0),13,FALSE)),"","/"&amp;VLOOKUP($N77,OFFSET(選手情報!$A$6:$M$119,AP77,0),13,FALSE)),"")</f>
        <v/>
      </c>
      <c r="AR77" s="127" t="str">
        <f ca="1">IF(AP77&lt;&gt;"",IF(ISNA(VLOOKUP($N77,OFFSET(選手情報!$A$6:$BD$119,AP77,0),56,FALSE)),"",VLOOKUP($N77,OFFSET(選手情報!$A$6:$BD$119,AP77,0),56,FALSE)),"")</f>
        <v/>
      </c>
      <c r="AS77" s="127" t="str">
        <f ca="1">IF(AR77&lt;&gt;"",IF(ISNA(VLOOKUP($N77,OFFSET(選手情報!$A$6:$M$119,AR77,0),13,FALSE)),"","/"&amp;VLOOKUP($N77,OFFSET(選手情報!$A$6:$M$119,AR77,0),13,FALSE)),"")</f>
        <v/>
      </c>
      <c r="AT77" s="127" t="str">
        <f ca="1">IF(AR77&lt;&gt;"",IF(ISNA(VLOOKUP($N77,OFFSET(選手情報!$A$6:$BD$119,AR77,0),56,FALSE)),"",VLOOKUP($N77,OFFSET(選手情報!$A$6:$BD$119,AR77,0),56,FALSE)),"")</f>
        <v/>
      </c>
      <c r="AU77" s="127" t="str">
        <f ca="1">IF(AT77&lt;&gt;"",IF(ISNA(VLOOKUP($N77,OFFSET(選手情報!$A$6:$M$119,AT77,0),13,FALSE)),"","/"&amp;VLOOKUP($N77,OFFSET(選手情報!$A$6:$M$119,AT77,0),13,FALSE)),"")</f>
        <v/>
      </c>
      <c r="AV77" s="127" t="str">
        <f ca="1">IF(AT77&lt;&gt;"",IF(ISNA(VLOOKUP($N77,OFFSET(選手情報!$A$6:$BD$119,AT77,0),56,FALSE)),"",VLOOKUP($N77,OFFSET(選手情報!$A$6:$BD$119,AT77,0),56,FALSE)),"")</f>
        <v/>
      </c>
      <c r="AW77" s="127" t="str">
        <f ca="1">IF(AV77&lt;&gt;"",IF(ISNA(VLOOKUP($N77,OFFSET(選手情報!$A$6:$M$119,AV77,0),13,FALSE)),"","/"&amp;VLOOKUP($N77,OFFSET(選手情報!$A$6:$M$119,AV77,0),13,FALSE)),"")</f>
        <v/>
      </c>
      <c r="AX77" s="127" t="str">
        <f ca="1">IF(AV77&lt;&gt;"",IF(ISNA(VLOOKUP($N77,OFFSET(選手情報!$A$6:$BD$119,AV77,0),56,FALSE)),"",VLOOKUP($N77,OFFSET(選手情報!$A$6:$BD$119,AV77,0),56,FALSE)),"")</f>
        <v/>
      </c>
      <c r="AY77" s="127" t="str">
        <f ca="1">IF(AX77&lt;&gt;"",IF(ISNA(VLOOKUP($N77,OFFSET(選手情報!$A$6:$M$119,AX77,0),13,FALSE)),"","/"&amp;VLOOKUP($N77,OFFSET(選手情報!$A$6:$M$119,AX77,0),13,FALSE)),"")</f>
        <v/>
      </c>
      <c r="AZ77" s="127" t="str">
        <f ca="1">IF(AX77&lt;&gt;"",IF(ISNA(VLOOKUP($N77,OFFSET(選手情報!$A$6:$BD$119,AX77,0),56,FALSE)),"",VLOOKUP($N77,OFFSET(選手情報!$A$6:$BD$119,AX77,0),56,FALSE)),"")</f>
        <v/>
      </c>
      <c r="BA77" s="127" t="str">
        <f ca="1">IF(AZ77&lt;&gt;"",IF(ISNA(VLOOKUP($N77,OFFSET(選手情報!$A$6:$M$119,AZ77,0),13,FALSE)),"","/"&amp;VLOOKUP($N77,OFFSET(選手情報!$A$6:$M$119,AZ77,0),13,FALSE)),"")</f>
        <v/>
      </c>
      <c r="BB77" s="127" t="str">
        <f ca="1">IF(AZ77&lt;&gt;"",IF(ISNA(VLOOKUP($N77,OFFSET(選手情報!$A$6:$BD$119,AZ77,0),56,FALSE)),"",VLOOKUP($N77,OFFSET(選手情報!$A$6:$BD$119,AZ77,0),56,FALSE)),"")</f>
        <v/>
      </c>
      <c r="BC77" s="127" t="str">
        <f ca="1">IF(BB77&lt;&gt;"",IF(ISNA(VLOOKUP($N77,OFFSET(選手情報!$A$6:$M$119,BB77,0),13,FALSE)),"","/"&amp;VLOOKUP($N77,OFFSET(選手情報!$A$6:$M$119,BB77,0),13,FALSE)),"")</f>
        <v/>
      </c>
      <c r="BD77" s="127" t="str">
        <f ca="1">IF(BB77&lt;&gt;"",IF(ISNA(VLOOKUP($N77,OFFSET(選手情報!$A$6:$BD$119,BB77,0),56,FALSE)),"",VLOOKUP($N77,OFFSET(選手情報!$A$6:$BD$119,BB77,0),56,FALSE)),"")</f>
        <v/>
      </c>
      <c r="BE77" s="127" t="str">
        <f ca="1">IF(BD77&lt;&gt;"",IF(ISNA(VLOOKUP($N77,OFFSET(選手情報!$A$6:$M$119,BD77,0),13,FALSE)),"","/"&amp;VLOOKUP($N77,OFFSET(選手情報!$A$6:$M$119,BD77,0),13,FALSE)),"")</f>
        <v/>
      </c>
      <c r="BF77" s="127" t="str">
        <f ca="1">IF(BD77&lt;&gt;"",IF(ISNA(VLOOKUP($N77,OFFSET(選手情報!$A$6:$BD$119,BD77,0),56,FALSE)),"",VLOOKUP($N77,OFFSET(選手情報!$A$6:$BD$119,BD77,0),56,FALSE)),"")</f>
        <v/>
      </c>
      <c r="BG77" s="127" t="str">
        <f ca="1">IF(BF77&lt;&gt;"",IF(ISNA(VLOOKUP($N77,OFFSET(選手情報!$A$6:$M$119,BF77,0),13,FALSE)),"","/"&amp;VLOOKUP($N77,OFFSET(選手情報!$A$6:$M$119,BF77,0),13,FALSE)),"")</f>
        <v/>
      </c>
      <c r="BH77" s="127" t="str">
        <f ca="1">IF(BF77&lt;&gt;"",IF(ISNA(VLOOKUP($N77,OFFSET(選手情報!$A$6:$BD$119,BF77,0),56,FALSE)),"",VLOOKUP($N77,OFFSET(選手情報!$A$6:$BD$119,BF77,0),56,FALSE)),"")</f>
        <v/>
      </c>
      <c r="BI77" s="127" t="str">
        <f ca="1">IF(BH77&lt;&gt;"",IF(ISNA(VLOOKUP($N77,OFFSET(選手情報!$A$6:$M$119,BH77,0),13,FALSE)),"","/"&amp;VLOOKUP($N77,OFFSET(選手情報!$A$6:$M$119,BH77,0),13,FALSE)),"")</f>
        <v/>
      </c>
    </row>
    <row r="78" spans="1:61" s="127" customFormat="1" ht="12.6" customHeight="1">
      <c r="A78" s="128" t="str">
        <f>IF(ISNA(VLOOKUP($C$2&amp;N78,選手データ!A:H,3,FALSE)),"",IF(M78&lt;&gt;M77,VLOOKUP($C$2&amp;N78,選手データ!A:H,3,FALSE),""))</f>
        <v/>
      </c>
      <c r="B78" s="129" t="str">
        <f>IF(A78&lt;&gt;"",VLOOKUP($C$2&amp;N78,選手データ!A:H,4,FALSE),"")</f>
        <v/>
      </c>
      <c r="C78" s="129" t="str">
        <f>IF(A78&lt;&gt;"",VLOOKUP($C$2&amp;N78,選手データ!A:H,5,FALSE),"")</f>
        <v/>
      </c>
      <c r="D78" s="129" t="str">
        <f>IF(A78&lt;&gt;"",VLOOKUP($C$2&amp;N78,選手データ!A:H,6,FALSE),"")</f>
        <v/>
      </c>
      <c r="E78" s="129" t="str">
        <f>IF(A78&lt;&gt;"",VLOOKUP($C$2&amp;N78,選手データ!A:H,7,FALSE),"")</f>
        <v/>
      </c>
      <c r="F78" s="130" t="str">
        <f>IF(A78&lt;&gt;"",VLOOKUP($C$2&amp;N78,選手データ!A:H,8,FALSE),"")</f>
        <v/>
      </c>
      <c r="G78" s="130" t="str">
        <f>IF(F78&lt;&gt;"",IF(DATEDIF(F78,設定!$B$12,"Y")&lt;20,"〇",""),"")</f>
        <v/>
      </c>
      <c r="H78" s="131" t="str">
        <f t="shared" ca="1" si="0"/>
        <v/>
      </c>
      <c r="I78" s="132" t="str">
        <f t="shared" ca="1" si="1"/>
        <v/>
      </c>
      <c r="J78" s="131" t="str">
        <f t="shared" ca="1" si="2"/>
        <v/>
      </c>
      <c r="K78" s="130" t="str">
        <f>IF(A78&lt;&gt;"",IF(COUNTIF(リレーチーム情報!$B$5:$B$10,A78&amp;E78)=1,"〇",""),"")</f>
        <v/>
      </c>
      <c r="L78" s="133" t="str">
        <f>IF(A78&lt;&gt;"",IF(COUNTIF(リレーチーム情報!$B$11:$B$16,A78&amp;E78)=1,"〇",""),"")</f>
        <v/>
      </c>
      <c r="M78" s="127">
        <f>IF(学校情報!$A$4&lt;&gt;"",0,IF(S77=0,MAX($M$37:M77)+1,M77))</f>
        <v>0</v>
      </c>
      <c r="N78" s="127" t="str">
        <f>IF(M78&lt;&gt;0,VLOOKUP(M78,選手情報!BF:BG,2,FALSE),"")</f>
        <v/>
      </c>
      <c r="O78" s="127" t="str">
        <f ca="1">IF(M78&lt;&gt;0,VLOOKUP(N78,OFFSET(選手情報!$A$6:$W$119,IF(M78&lt;&gt;M77,0,R77),0),13,FALSE),"")</f>
        <v/>
      </c>
      <c r="P78" s="127" t="str">
        <f ca="1">IF(M78&lt;&gt;0,VLOOKUP(N78,OFFSET(選手情報!$A$6:$W$119,IF(M78&lt;&gt;M77,0,R77),0),16,FALSE),"")</f>
        <v/>
      </c>
      <c r="Q78" s="127" t="str">
        <f ca="1">IF(M78&lt;&gt;0,VLOOKUP(N78,OFFSET(選手情報!$A$6:$W$119,IF(M78&lt;&gt;M77,0,R77),0),21,FALSE),"")</f>
        <v/>
      </c>
      <c r="R78" s="127">
        <f ca="1">IF(M78&lt;&gt;0,VLOOKUP(N78,OFFSET(選手情報!$A$6:$BD$119,IF(M78&lt;&gt;M77,0,R77),0),56,FALSE),0)</f>
        <v>0</v>
      </c>
      <c r="S78" s="127">
        <f ca="1">IF(M78&lt;&gt;0,IF(ISNA(R78),0,COUNTIF(OFFSET(選手情報!$A$6:$A$119,R78,0),N78)),0)</f>
        <v>0</v>
      </c>
      <c r="U78" s="127">
        <f t="shared" si="3"/>
        <v>0</v>
      </c>
      <c r="V78" s="127">
        <f t="shared" ca="1" si="4"/>
        <v>1</v>
      </c>
      <c r="W78" s="127">
        <f t="shared" ca="1" si="5"/>
        <v>0</v>
      </c>
      <c r="X78" s="127" t="str">
        <f t="shared" ca="1" si="6"/>
        <v/>
      </c>
      <c r="Y78" s="127" t="str">
        <f>IF($A78&lt;&gt;"",IF(ISNA(VLOOKUP($N78,選手情報!$A$6:$M$119,13,FALSE)),"","/"&amp;VLOOKUP($N78,選手情報!$A$6:$M$119,13,FALSE)),"")</f>
        <v/>
      </c>
      <c r="Z78" s="127" t="str">
        <f ca="1">IF(Y78&lt;&gt;"",IF(ISNA(VLOOKUP($N78,OFFSET(選手情報!$A$6:$BD$119,0,0),56,FALSE)),"",VLOOKUP($N78,OFFSET(選手情報!$A$6:$BD$119,0,0),56,FALSE)),"")</f>
        <v/>
      </c>
      <c r="AA78" s="127" t="str">
        <f ca="1">IF(Z78&lt;&gt;"",IF(ISNA(VLOOKUP($N78,OFFSET(選手情報!$A$6:$M$119,Z78,0),13,FALSE)),"","/"&amp;VLOOKUP($N78,OFFSET(選手情報!$A$6:$M$119,Z78,0),13,FALSE)),"")</f>
        <v/>
      </c>
      <c r="AB78" s="127" t="str">
        <f ca="1">IF(Z78&lt;&gt;"",IF(ISNA(VLOOKUP($N78,OFFSET(選手情報!$A$6:$BD$119,Z78,0),56,FALSE)),"",VLOOKUP($N78,OFFSET(選手情報!$A$6:$BD$119,Z78,0),56,FALSE)),"")</f>
        <v/>
      </c>
      <c r="AC78" s="127" t="str">
        <f ca="1">IF(AB78&lt;&gt;"",IF(ISNA(VLOOKUP($N78,OFFSET(選手情報!$A$6:$M$119,AB78,0),13,FALSE)),"","/"&amp;VLOOKUP($N78,OFFSET(選手情報!$A$6:$M$119,AB78,0),13,FALSE)),"")</f>
        <v/>
      </c>
      <c r="AD78" s="127" t="str">
        <f ca="1">IF(AB78&lt;&gt;"",IF(ISNA(VLOOKUP($N78,OFFSET(選手情報!$A$6:$BD$119,AB78,0),56,FALSE)),"",VLOOKUP($N78,OFFSET(選手情報!$A$6:$BD$119,AB78,0),56,FALSE)),"")</f>
        <v/>
      </c>
      <c r="AE78" s="127" t="str">
        <f ca="1">IF(AD78&lt;&gt;"",IF(ISNA(VLOOKUP($N78,OFFSET(選手情報!$A$6:$M$119,AD78,0),13,FALSE)),"","/"&amp;VLOOKUP($N78,OFFSET(選手情報!$A$6:$M$119,AD78,0),13,FALSE)),"")</f>
        <v/>
      </c>
      <c r="AF78" s="127" t="str">
        <f ca="1">IF(AD78&lt;&gt;"",IF(ISNA(VLOOKUP($N78,OFFSET(選手情報!$A$6:$BD$119,AD78,0),56,FALSE)),"",VLOOKUP($N78,OFFSET(選手情報!$A$6:$BD$119,AD78,0),56,FALSE)),"")</f>
        <v/>
      </c>
      <c r="AG78" s="127" t="str">
        <f ca="1">IF(AF78&lt;&gt;"",IF(ISNA(VLOOKUP($N78,OFFSET(選手情報!$A$6:$M$119,AF78,0),13,FALSE)),"","/"&amp;VLOOKUP($N78,OFFSET(選手情報!$A$6:$M$119,AF78,0),13,FALSE)),"")</f>
        <v/>
      </c>
      <c r="AH78" s="127" t="str">
        <f ca="1">IF(AF78&lt;&gt;"",IF(ISNA(VLOOKUP($N78,OFFSET(選手情報!$A$6:$BD$119,AF78,0),56,FALSE)),"",VLOOKUP($N78,OFFSET(選手情報!$A$6:$BD$119,AF78,0),56,FALSE)),"")</f>
        <v/>
      </c>
      <c r="AI78" s="127" t="str">
        <f ca="1">IF(AH78&lt;&gt;"",IF(ISNA(VLOOKUP($N78,OFFSET(選手情報!$A$6:$M$119,AH78,0),13,FALSE)),"","/"&amp;VLOOKUP($N78,OFFSET(選手情報!$A$6:$M$119,AH78,0),13,FALSE)),"")</f>
        <v/>
      </c>
      <c r="AJ78" s="127" t="str">
        <f ca="1">IF(AH78&lt;&gt;"",IF(ISNA(VLOOKUP($N78,OFFSET(選手情報!$A$6:$BD$119,AH78,0),56,FALSE)),"",VLOOKUP($N78,OFFSET(選手情報!$A$6:$BD$119,AH78,0),56,FALSE)),"")</f>
        <v/>
      </c>
      <c r="AK78" s="127" t="str">
        <f ca="1">IF(AJ78&lt;&gt;"",IF(ISNA(VLOOKUP($N78,OFFSET(選手情報!$A$6:$M$119,AJ78,0),13,FALSE)),"","/"&amp;VLOOKUP($N78,OFFSET(選手情報!$A$6:$M$119,AJ78,0),13,FALSE)),"")</f>
        <v/>
      </c>
      <c r="AL78" s="127" t="str">
        <f ca="1">IF(AJ78&lt;&gt;"",IF(ISNA(VLOOKUP($N78,OFFSET(選手情報!$A$6:$BD$119,AJ78,0),56,FALSE)),"",VLOOKUP($N78,OFFSET(選手情報!$A$6:$BD$119,AJ78,0),56,FALSE)),"")</f>
        <v/>
      </c>
      <c r="AM78" s="127" t="str">
        <f ca="1">IF(AL78&lt;&gt;"",IF(ISNA(VLOOKUP($N78,OFFSET(選手情報!$A$6:$M$119,AL78,0),13,FALSE)),"","/"&amp;VLOOKUP($N78,OFFSET(選手情報!$A$6:$M$119,AL78,0),13,FALSE)),"")</f>
        <v/>
      </c>
      <c r="AN78" s="127" t="str">
        <f ca="1">IF(AL78&lt;&gt;"",IF(ISNA(VLOOKUP($N78,OFFSET(選手情報!$A$6:$BD$119,AL78,0),56,FALSE)),"",VLOOKUP($N78,OFFSET(選手情報!$A$6:$BD$119,AL78,0),56,FALSE)),"")</f>
        <v/>
      </c>
      <c r="AO78" s="127" t="str">
        <f ca="1">IF(AN78&lt;&gt;"",IF(ISNA(VLOOKUP($N78,OFFSET(選手情報!$A$6:$M$119,AN78,0),13,FALSE)),"","/"&amp;VLOOKUP($N78,OFFSET(選手情報!$A$6:$M$119,AN78,0),13,FALSE)),"")</f>
        <v/>
      </c>
      <c r="AP78" s="127" t="str">
        <f ca="1">IF(AN78&lt;&gt;"",IF(ISNA(VLOOKUP($N78,OFFSET(選手情報!$A$6:$BD$119,AN78,0),56,FALSE)),"",VLOOKUP($N78,OFFSET(選手情報!$A$6:$BD$119,AN78,0),56,FALSE)),"")</f>
        <v/>
      </c>
      <c r="AQ78" s="127" t="str">
        <f ca="1">IF(AP78&lt;&gt;"",IF(ISNA(VLOOKUP($N78,OFFSET(選手情報!$A$6:$M$119,AP78,0),13,FALSE)),"","/"&amp;VLOOKUP($N78,OFFSET(選手情報!$A$6:$M$119,AP78,0),13,FALSE)),"")</f>
        <v/>
      </c>
      <c r="AR78" s="127" t="str">
        <f ca="1">IF(AP78&lt;&gt;"",IF(ISNA(VLOOKUP($N78,OFFSET(選手情報!$A$6:$BD$119,AP78,0),56,FALSE)),"",VLOOKUP($N78,OFFSET(選手情報!$A$6:$BD$119,AP78,0),56,FALSE)),"")</f>
        <v/>
      </c>
      <c r="AS78" s="127" t="str">
        <f ca="1">IF(AR78&lt;&gt;"",IF(ISNA(VLOOKUP($N78,OFFSET(選手情報!$A$6:$M$119,AR78,0),13,FALSE)),"","/"&amp;VLOOKUP($N78,OFFSET(選手情報!$A$6:$M$119,AR78,0),13,FALSE)),"")</f>
        <v/>
      </c>
      <c r="AT78" s="127" t="str">
        <f ca="1">IF(AR78&lt;&gt;"",IF(ISNA(VLOOKUP($N78,OFFSET(選手情報!$A$6:$BD$119,AR78,0),56,FALSE)),"",VLOOKUP($N78,OFFSET(選手情報!$A$6:$BD$119,AR78,0),56,FALSE)),"")</f>
        <v/>
      </c>
      <c r="AU78" s="127" t="str">
        <f ca="1">IF(AT78&lt;&gt;"",IF(ISNA(VLOOKUP($N78,OFFSET(選手情報!$A$6:$M$119,AT78,0),13,FALSE)),"","/"&amp;VLOOKUP($N78,OFFSET(選手情報!$A$6:$M$119,AT78,0),13,FALSE)),"")</f>
        <v/>
      </c>
      <c r="AV78" s="127" t="str">
        <f ca="1">IF(AT78&lt;&gt;"",IF(ISNA(VLOOKUP($N78,OFFSET(選手情報!$A$6:$BD$119,AT78,0),56,FALSE)),"",VLOOKUP($N78,OFFSET(選手情報!$A$6:$BD$119,AT78,0),56,FALSE)),"")</f>
        <v/>
      </c>
      <c r="AW78" s="127" t="str">
        <f ca="1">IF(AV78&lt;&gt;"",IF(ISNA(VLOOKUP($N78,OFFSET(選手情報!$A$6:$M$119,AV78,0),13,FALSE)),"","/"&amp;VLOOKUP($N78,OFFSET(選手情報!$A$6:$M$119,AV78,0),13,FALSE)),"")</f>
        <v/>
      </c>
      <c r="AX78" s="127" t="str">
        <f ca="1">IF(AV78&lt;&gt;"",IF(ISNA(VLOOKUP($N78,OFFSET(選手情報!$A$6:$BD$119,AV78,0),56,FALSE)),"",VLOOKUP($N78,OFFSET(選手情報!$A$6:$BD$119,AV78,0),56,FALSE)),"")</f>
        <v/>
      </c>
      <c r="AY78" s="127" t="str">
        <f ca="1">IF(AX78&lt;&gt;"",IF(ISNA(VLOOKUP($N78,OFFSET(選手情報!$A$6:$M$119,AX78,0),13,FALSE)),"","/"&amp;VLOOKUP($N78,OFFSET(選手情報!$A$6:$M$119,AX78,0),13,FALSE)),"")</f>
        <v/>
      </c>
      <c r="AZ78" s="127" t="str">
        <f ca="1">IF(AX78&lt;&gt;"",IF(ISNA(VLOOKUP($N78,OFFSET(選手情報!$A$6:$BD$119,AX78,0),56,FALSE)),"",VLOOKUP($N78,OFFSET(選手情報!$A$6:$BD$119,AX78,0),56,FALSE)),"")</f>
        <v/>
      </c>
      <c r="BA78" s="127" t="str">
        <f ca="1">IF(AZ78&lt;&gt;"",IF(ISNA(VLOOKUP($N78,OFFSET(選手情報!$A$6:$M$119,AZ78,0),13,FALSE)),"","/"&amp;VLOOKUP($N78,OFFSET(選手情報!$A$6:$M$119,AZ78,0),13,FALSE)),"")</f>
        <v/>
      </c>
      <c r="BB78" s="127" t="str">
        <f ca="1">IF(AZ78&lt;&gt;"",IF(ISNA(VLOOKUP($N78,OFFSET(選手情報!$A$6:$BD$119,AZ78,0),56,FALSE)),"",VLOOKUP($N78,OFFSET(選手情報!$A$6:$BD$119,AZ78,0),56,FALSE)),"")</f>
        <v/>
      </c>
      <c r="BC78" s="127" t="str">
        <f ca="1">IF(BB78&lt;&gt;"",IF(ISNA(VLOOKUP($N78,OFFSET(選手情報!$A$6:$M$119,BB78,0),13,FALSE)),"","/"&amp;VLOOKUP($N78,OFFSET(選手情報!$A$6:$M$119,BB78,0),13,FALSE)),"")</f>
        <v/>
      </c>
      <c r="BD78" s="127" t="str">
        <f ca="1">IF(BB78&lt;&gt;"",IF(ISNA(VLOOKUP($N78,OFFSET(選手情報!$A$6:$BD$119,BB78,0),56,FALSE)),"",VLOOKUP($N78,OFFSET(選手情報!$A$6:$BD$119,BB78,0),56,FALSE)),"")</f>
        <v/>
      </c>
      <c r="BE78" s="127" t="str">
        <f ca="1">IF(BD78&lt;&gt;"",IF(ISNA(VLOOKUP($N78,OFFSET(選手情報!$A$6:$M$119,BD78,0),13,FALSE)),"","/"&amp;VLOOKUP($N78,OFFSET(選手情報!$A$6:$M$119,BD78,0),13,FALSE)),"")</f>
        <v/>
      </c>
      <c r="BF78" s="127" t="str">
        <f ca="1">IF(BD78&lt;&gt;"",IF(ISNA(VLOOKUP($N78,OFFSET(選手情報!$A$6:$BD$119,BD78,0),56,FALSE)),"",VLOOKUP($N78,OFFSET(選手情報!$A$6:$BD$119,BD78,0),56,FALSE)),"")</f>
        <v/>
      </c>
      <c r="BG78" s="127" t="str">
        <f ca="1">IF(BF78&lt;&gt;"",IF(ISNA(VLOOKUP($N78,OFFSET(選手情報!$A$6:$M$119,BF78,0),13,FALSE)),"","/"&amp;VLOOKUP($N78,OFFSET(選手情報!$A$6:$M$119,BF78,0),13,FALSE)),"")</f>
        <v/>
      </c>
      <c r="BH78" s="127" t="str">
        <f ca="1">IF(BF78&lt;&gt;"",IF(ISNA(VLOOKUP($N78,OFFSET(選手情報!$A$6:$BD$119,BF78,0),56,FALSE)),"",VLOOKUP($N78,OFFSET(選手情報!$A$6:$BD$119,BF78,0),56,FALSE)),"")</f>
        <v/>
      </c>
      <c r="BI78" s="127" t="str">
        <f ca="1">IF(BH78&lt;&gt;"",IF(ISNA(VLOOKUP($N78,OFFSET(選手情報!$A$6:$M$119,BH78,0),13,FALSE)),"","/"&amp;VLOOKUP($N78,OFFSET(選手情報!$A$6:$M$119,BH78,0),13,FALSE)),"")</f>
        <v/>
      </c>
    </row>
    <row r="79" spans="1:61" s="127" customFormat="1" ht="12.6" customHeight="1">
      <c r="A79" s="128" t="str">
        <f>IF(ISNA(VLOOKUP($C$2&amp;N79,選手データ!A:H,3,FALSE)),"",IF(M79&lt;&gt;M78,VLOOKUP($C$2&amp;N79,選手データ!A:H,3,FALSE),""))</f>
        <v/>
      </c>
      <c r="B79" s="129" t="str">
        <f>IF(A79&lt;&gt;"",VLOOKUP($C$2&amp;N79,選手データ!A:H,4,FALSE),"")</f>
        <v/>
      </c>
      <c r="C79" s="129" t="str">
        <f>IF(A79&lt;&gt;"",VLOOKUP($C$2&amp;N79,選手データ!A:H,5,FALSE),"")</f>
        <v/>
      </c>
      <c r="D79" s="129" t="str">
        <f>IF(A79&lt;&gt;"",VLOOKUP($C$2&amp;N79,選手データ!A:H,6,FALSE),"")</f>
        <v/>
      </c>
      <c r="E79" s="129" t="str">
        <f>IF(A79&lt;&gt;"",VLOOKUP($C$2&amp;N79,選手データ!A:H,7,FALSE),"")</f>
        <v/>
      </c>
      <c r="F79" s="130" t="str">
        <f>IF(A79&lt;&gt;"",VLOOKUP($C$2&amp;N79,選手データ!A:H,8,FALSE),"")</f>
        <v/>
      </c>
      <c r="G79" s="130" t="str">
        <f>IF(F79&lt;&gt;"",IF(DATEDIF(F79,設定!$B$12,"Y")&lt;20,"〇",""),"")</f>
        <v/>
      </c>
      <c r="H79" s="131" t="str">
        <f t="shared" ca="1" si="0"/>
        <v/>
      </c>
      <c r="I79" s="132" t="str">
        <f t="shared" ca="1" si="1"/>
        <v/>
      </c>
      <c r="J79" s="131" t="str">
        <f t="shared" ca="1" si="2"/>
        <v/>
      </c>
      <c r="K79" s="130" t="str">
        <f>IF(A79&lt;&gt;"",IF(COUNTIF(リレーチーム情報!$B$5:$B$10,A79&amp;E79)=1,"〇",""),"")</f>
        <v/>
      </c>
      <c r="L79" s="133" t="str">
        <f>IF(A79&lt;&gt;"",IF(COUNTIF(リレーチーム情報!$B$11:$B$16,A79&amp;E79)=1,"〇",""),"")</f>
        <v/>
      </c>
      <c r="M79" s="127">
        <f>IF(学校情報!$A$4&lt;&gt;"",0,IF(S78=0,MAX($M$37:M78)+1,M78))</f>
        <v>0</v>
      </c>
      <c r="N79" s="127" t="str">
        <f>IF(M79&lt;&gt;0,VLOOKUP(M79,選手情報!BF:BG,2,FALSE),"")</f>
        <v/>
      </c>
      <c r="O79" s="127" t="str">
        <f ca="1">IF(M79&lt;&gt;0,VLOOKUP(N79,OFFSET(選手情報!$A$6:$W$119,IF(M79&lt;&gt;M78,0,R78),0),13,FALSE),"")</f>
        <v/>
      </c>
      <c r="P79" s="127" t="str">
        <f ca="1">IF(M79&lt;&gt;0,VLOOKUP(N79,OFFSET(選手情報!$A$6:$W$119,IF(M79&lt;&gt;M78,0,R78),0),16,FALSE),"")</f>
        <v/>
      </c>
      <c r="Q79" s="127" t="str">
        <f ca="1">IF(M79&lt;&gt;0,VLOOKUP(N79,OFFSET(選手情報!$A$6:$W$119,IF(M79&lt;&gt;M78,0,R78),0),21,FALSE),"")</f>
        <v/>
      </c>
      <c r="R79" s="127">
        <f ca="1">IF(M79&lt;&gt;0,VLOOKUP(N79,OFFSET(選手情報!$A$6:$BD$119,IF(M79&lt;&gt;M78,0,R78),0),56,FALSE),0)</f>
        <v>0</v>
      </c>
      <c r="S79" s="127">
        <f ca="1">IF(M79&lt;&gt;0,IF(ISNA(R79),0,COUNTIF(OFFSET(選手情報!$A$6:$A$119,R79,0),N79)),0)</f>
        <v>0</v>
      </c>
      <c r="U79" s="127">
        <f t="shared" si="3"/>
        <v>0</v>
      </c>
      <c r="V79" s="127">
        <f t="shared" ca="1" si="4"/>
        <v>1</v>
      </c>
      <c r="W79" s="127">
        <f t="shared" ca="1" si="5"/>
        <v>0</v>
      </c>
      <c r="X79" s="127" t="str">
        <f t="shared" ca="1" si="6"/>
        <v/>
      </c>
      <c r="Y79" s="127" t="str">
        <f>IF($A79&lt;&gt;"",IF(ISNA(VLOOKUP($N79,選手情報!$A$6:$M$119,13,FALSE)),"","/"&amp;VLOOKUP($N79,選手情報!$A$6:$M$119,13,FALSE)),"")</f>
        <v/>
      </c>
      <c r="Z79" s="127" t="str">
        <f ca="1">IF(Y79&lt;&gt;"",IF(ISNA(VLOOKUP($N79,OFFSET(選手情報!$A$6:$BD$119,0,0),56,FALSE)),"",VLOOKUP($N79,OFFSET(選手情報!$A$6:$BD$119,0,0),56,FALSE)),"")</f>
        <v/>
      </c>
      <c r="AA79" s="127" t="str">
        <f ca="1">IF(Z79&lt;&gt;"",IF(ISNA(VLOOKUP($N79,OFFSET(選手情報!$A$6:$M$119,Z79,0),13,FALSE)),"","/"&amp;VLOOKUP($N79,OFFSET(選手情報!$A$6:$M$119,Z79,0),13,FALSE)),"")</f>
        <v/>
      </c>
      <c r="AB79" s="127" t="str">
        <f ca="1">IF(Z79&lt;&gt;"",IF(ISNA(VLOOKUP($N79,OFFSET(選手情報!$A$6:$BD$119,Z79,0),56,FALSE)),"",VLOOKUP($N79,OFFSET(選手情報!$A$6:$BD$119,Z79,0),56,FALSE)),"")</f>
        <v/>
      </c>
      <c r="AC79" s="127" t="str">
        <f ca="1">IF(AB79&lt;&gt;"",IF(ISNA(VLOOKUP($N79,OFFSET(選手情報!$A$6:$M$119,AB79,0),13,FALSE)),"","/"&amp;VLOOKUP($N79,OFFSET(選手情報!$A$6:$M$119,AB79,0),13,FALSE)),"")</f>
        <v/>
      </c>
      <c r="AD79" s="127" t="str">
        <f ca="1">IF(AB79&lt;&gt;"",IF(ISNA(VLOOKUP($N79,OFFSET(選手情報!$A$6:$BD$119,AB79,0),56,FALSE)),"",VLOOKUP($N79,OFFSET(選手情報!$A$6:$BD$119,AB79,0),56,FALSE)),"")</f>
        <v/>
      </c>
      <c r="AE79" s="127" t="str">
        <f ca="1">IF(AD79&lt;&gt;"",IF(ISNA(VLOOKUP($N79,OFFSET(選手情報!$A$6:$M$119,AD79,0),13,FALSE)),"","/"&amp;VLOOKUP($N79,OFFSET(選手情報!$A$6:$M$119,AD79,0),13,FALSE)),"")</f>
        <v/>
      </c>
      <c r="AF79" s="127" t="str">
        <f ca="1">IF(AD79&lt;&gt;"",IF(ISNA(VLOOKUP($N79,OFFSET(選手情報!$A$6:$BD$119,AD79,0),56,FALSE)),"",VLOOKUP($N79,OFFSET(選手情報!$A$6:$BD$119,AD79,0),56,FALSE)),"")</f>
        <v/>
      </c>
      <c r="AG79" s="127" t="str">
        <f ca="1">IF(AF79&lt;&gt;"",IF(ISNA(VLOOKUP($N79,OFFSET(選手情報!$A$6:$M$119,AF79,0),13,FALSE)),"","/"&amp;VLOOKUP($N79,OFFSET(選手情報!$A$6:$M$119,AF79,0),13,FALSE)),"")</f>
        <v/>
      </c>
      <c r="AH79" s="127" t="str">
        <f ca="1">IF(AF79&lt;&gt;"",IF(ISNA(VLOOKUP($N79,OFFSET(選手情報!$A$6:$BD$119,AF79,0),56,FALSE)),"",VLOOKUP($N79,OFFSET(選手情報!$A$6:$BD$119,AF79,0),56,FALSE)),"")</f>
        <v/>
      </c>
      <c r="AI79" s="127" t="str">
        <f ca="1">IF(AH79&lt;&gt;"",IF(ISNA(VLOOKUP($N79,OFFSET(選手情報!$A$6:$M$119,AH79,0),13,FALSE)),"","/"&amp;VLOOKUP($N79,OFFSET(選手情報!$A$6:$M$119,AH79,0),13,FALSE)),"")</f>
        <v/>
      </c>
      <c r="AJ79" s="127" t="str">
        <f ca="1">IF(AH79&lt;&gt;"",IF(ISNA(VLOOKUP($N79,OFFSET(選手情報!$A$6:$BD$119,AH79,0),56,FALSE)),"",VLOOKUP($N79,OFFSET(選手情報!$A$6:$BD$119,AH79,0),56,FALSE)),"")</f>
        <v/>
      </c>
      <c r="AK79" s="127" t="str">
        <f ca="1">IF(AJ79&lt;&gt;"",IF(ISNA(VLOOKUP($N79,OFFSET(選手情報!$A$6:$M$119,AJ79,0),13,FALSE)),"","/"&amp;VLOOKUP($N79,OFFSET(選手情報!$A$6:$M$119,AJ79,0),13,FALSE)),"")</f>
        <v/>
      </c>
      <c r="AL79" s="127" t="str">
        <f ca="1">IF(AJ79&lt;&gt;"",IF(ISNA(VLOOKUP($N79,OFFSET(選手情報!$A$6:$BD$119,AJ79,0),56,FALSE)),"",VLOOKUP($N79,OFFSET(選手情報!$A$6:$BD$119,AJ79,0),56,FALSE)),"")</f>
        <v/>
      </c>
      <c r="AM79" s="127" t="str">
        <f ca="1">IF(AL79&lt;&gt;"",IF(ISNA(VLOOKUP($N79,OFFSET(選手情報!$A$6:$M$119,AL79,0),13,FALSE)),"","/"&amp;VLOOKUP($N79,OFFSET(選手情報!$A$6:$M$119,AL79,0),13,FALSE)),"")</f>
        <v/>
      </c>
      <c r="AN79" s="127" t="str">
        <f ca="1">IF(AL79&lt;&gt;"",IF(ISNA(VLOOKUP($N79,OFFSET(選手情報!$A$6:$BD$119,AL79,0),56,FALSE)),"",VLOOKUP($N79,OFFSET(選手情報!$A$6:$BD$119,AL79,0),56,FALSE)),"")</f>
        <v/>
      </c>
      <c r="AO79" s="127" t="str">
        <f ca="1">IF(AN79&lt;&gt;"",IF(ISNA(VLOOKUP($N79,OFFSET(選手情報!$A$6:$M$119,AN79,0),13,FALSE)),"","/"&amp;VLOOKUP($N79,OFFSET(選手情報!$A$6:$M$119,AN79,0),13,FALSE)),"")</f>
        <v/>
      </c>
      <c r="AP79" s="127" t="str">
        <f ca="1">IF(AN79&lt;&gt;"",IF(ISNA(VLOOKUP($N79,OFFSET(選手情報!$A$6:$BD$119,AN79,0),56,FALSE)),"",VLOOKUP($N79,OFFSET(選手情報!$A$6:$BD$119,AN79,0),56,FALSE)),"")</f>
        <v/>
      </c>
      <c r="AQ79" s="127" t="str">
        <f ca="1">IF(AP79&lt;&gt;"",IF(ISNA(VLOOKUP($N79,OFFSET(選手情報!$A$6:$M$119,AP79,0),13,FALSE)),"","/"&amp;VLOOKUP($N79,OFFSET(選手情報!$A$6:$M$119,AP79,0),13,FALSE)),"")</f>
        <v/>
      </c>
      <c r="AR79" s="127" t="str">
        <f ca="1">IF(AP79&lt;&gt;"",IF(ISNA(VLOOKUP($N79,OFFSET(選手情報!$A$6:$BD$119,AP79,0),56,FALSE)),"",VLOOKUP($N79,OFFSET(選手情報!$A$6:$BD$119,AP79,0),56,FALSE)),"")</f>
        <v/>
      </c>
      <c r="AS79" s="127" t="str">
        <f ca="1">IF(AR79&lt;&gt;"",IF(ISNA(VLOOKUP($N79,OFFSET(選手情報!$A$6:$M$119,AR79,0),13,FALSE)),"","/"&amp;VLOOKUP($N79,OFFSET(選手情報!$A$6:$M$119,AR79,0),13,FALSE)),"")</f>
        <v/>
      </c>
      <c r="AT79" s="127" t="str">
        <f ca="1">IF(AR79&lt;&gt;"",IF(ISNA(VLOOKUP($N79,OFFSET(選手情報!$A$6:$BD$119,AR79,0),56,FALSE)),"",VLOOKUP($N79,OFFSET(選手情報!$A$6:$BD$119,AR79,0),56,FALSE)),"")</f>
        <v/>
      </c>
      <c r="AU79" s="127" t="str">
        <f ca="1">IF(AT79&lt;&gt;"",IF(ISNA(VLOOKUP($N79,OFFSET(選手情報!$A$6:$M$119,AT79,0),13,FALSE)),"","/"&amp;VLOOKUP($N79,OFFSET(選手情報!$A$6:$M$119,AT79,0),13,FALSE)),"")</f>
        <v/>
      </c>
      <c r="AV79" s="127" t="str">
        <f ca="1">IF(AT79&lt;&gt;"",IF(ISNA(VLOOKUP($N79,OFFSET(選手情報!$A$6:$BD$119,AT79,0),56,FALSE)),"",VLOOKUP($N79,OFFSET(選手情報!$A$6:$BD$119,AT79,0),56,FALSE)),"")</f>
        <v/>
      </c>
      <c r="AW79" s="127" t="str">
        <f ca="1">IF(AV79&lt;&gt;"",IF(ISNA(VLOOKUP($N79,OFFSET(選手情報!$A$6:$M$119,AV79,0),13,FALSE)),"","/"&amp;VLOOKUP($N79,OFFSET(選手情報!$A$6:$M$119,AV79,0),13,FALSE)),"")</f>
        <v/>
      </c>
      <c r="AX79" s="127" t="str">
        <f ca="1">IF(AV79&lt;&gt;"",IF(ISNA(VLOOKUP($N79,OFFSET(選手情報!$A$6:$BD$119,AV79,0),56,FALSE)),"",VLOOKUP($N79,OFFSET(選手情報!$A$6:$BD$119,AV79,0),56,FALSE)),"")</f>
        <v/>
      </c>
      <c r="AY79" s="127" t="str">
        <f ca="1">IF(AX79&lt;&gt;"",IF(ISNA(VLOOKUP($N79,OFFSET(選手情報!$A$6:$M$119,AX79,0),13,FALSE)),"","/"&amp;VLOOKUP($N79,OFFSET(選手情報!$A$6:$M$119,AX79,0),13,FALSE)),"")</f>
        <v/>
      </c>
      <c r="AZ79" s="127" t="str">
        <f ca="1">IF(AX79&lt;&gt;"",IF(ISNA(VLOOKUP($N79,OFFSET(選手情報!$A$6:$BD$119,AX79,0),56,FALSE)),"",VLOOKUP($N79,OFFSET(選手情報!$A$6:$BD$119,AX79,0),56,FALSE)),"")</f>
        <v/>
      </c>
      <c r="BA79" s="127" t="str">
        <f ca="1">IF(AZ79&lt;&gt;"",IF(ISNA(VLOOKUP($N79,OFFSET(選手情報!$A$6:$M$119,AZ79,0),13,FALSE)),"","/"&amp;VLOOKUP($N79,OFFSET(選手情報!$A$6:$M$119,AZ79,0),13,FALSE)),"")</f>
        <v/>
      </c>
      <c r="BB79" s="127" t="str">
        <f ca="1">IF(AZ79&lt;&gt;"",IF(ISNA(VLOOKUP($N79,OFFSET(選手情報!$A$6:$BD$119,AZ79,0),56,FALSE)),"",VLOOKUP($N79,OFFSET(選手情報!$A$6:$BD$119,AZ79,0),56,FALSE)),"")</f>
        <v/>
      </c>
      <c r="BC79" s="127" t="str">
        <f ca="1">IF(BB79&lt;&gt;"",IF(ISNA(VLOOKUP($N79,OFFSET(選手情報!$A$6:$M$119,BB79,0),13,FALSE)),"","/"&amp;VLOOKUP($N79,OFFSET(選手情報!$A$6:$M$119,BB79,0),13,FALSE)),"")</f>
        <v/>
      </c>
      <c r="BD79" s="127" t="str">
        <f ca="1">IF(BB79&lt;&gt;"",IF(ISNA(VLOOKUP($N79,OFFSET(選手情報!$A$6:$BD$119,BB79,0),56,FALSE)),"",VLOOKUP($N79,OFFSET(選手情報!$A$6:$BD$119,BB79,0),56,FALSE)),"")</f>
        <v/>
      </c>
      <c r="BE79" s="127" t="str">
        <f ca="1">IF(BD79&lt;&gt;"",IF(ISNA(VLOOKUP($N79,OFFSET(選手情報!$A$6:$M$119,BD79,0),13,FALSE)),"","/"&amp;VLOOKUP($N79,OFFSET(選手情報!$A$6:$M$119,BD79,0),13,FALSE)),"")</f>
        <v/>
      </c>
      <c r="BF79" s="127" t="str">
        <f ca="1">IF(BD79&lt;&gt;"",IF(ISNA(VLOOKUP($N79,OFFSET(選手情報!$A$6:$BD$119,BD79,0),56,FALSE)),"",VLOOKUP($N79,OFFSET(選手情報!$A$6:$BD$119,BD79,0),56,FALSE)),"")</f>
        <v/>
      </c>
      <c r="BG79" s="127" t="str">
        <f ca="1">IF(BF79&lt;&gt;"",IF(ISNA(VLOOKUP($N79,OFFSET(選手情報!$A$6:$M$119,BF79,0),13,FALSE)),"","/"&amp;VLOOKUP($N79,OFFSET(選手情報!$A$6:$M$119,BF79,0),13,FALSE)),"")</f>
        <v/>
      </c>
      <c r="BH79" s="127" t="str">
        <f ca="1">IF(BF79&lt;&gt;"",IF(ISNA(VLOOKUP($N79,OFFSET(選手情報!$A$6:$BD$119,BF79,0),56,FALSE)),"",VLOOKUP($N79,OFFSET(選手情報!$A$6:$BD$119,BF79,0),56,FALSE)),"")</f>
        <v/>
      </c>
      <c r="BI79" s="127" t="str">
        <f ca="1">IF(BH79&lt;&gt;"",IF(ISNA(VLOOKUP($N79,OFFSET(選手情報!$A$6:$M$119,BH79,0),13,FALSE)),"","/"&amp;VLOOKUP($N79,OFFSET(選手情報!$A$6:$M$119,BH79,0),13,FALSE)),"")</f>
        <v/>
      </c>
    </row>
    <row r="80" spans="1:61" s="127" customFormat="1" ht="12.6" customHeight="1">
      <c r="A80" s="128" t="str">
        <f>IF(ISNA(VLOOKUP($C$2&amp;N80,選手データ!A:H,3,FALSE)),"",IF(M80&lt;&gt;M79,VLOOKUP($C$2&amp;N80,選手データ!A:H,3,FALSE),""))</f>
        <v/>
      </c>
      <c r="B80" s="129" t="str">
        <f>IF(A80&lt;&gt;"",VLOOKUP($C$2&amp;N80,選手データ!A:H,4,FALSE),"")</f>
        <v/>
      </c>
      <c r="C80" s="129" t="str">
        <f>IF(A80&lt;&gt;"",VLOOKUP($C$2&amp;N80,選手データ!A:H,5,FALSE),"")</f>
        <v/>
      </c>
      <c r="D80" s="129" t="str">
        <f>IF(A80&lt;&gt;"",VLOOKUP($C$2&amp;N80,選手データ!A:H,6,FALSE),"")</f>
        <v/>
      </c>
      <c r="E80" s="129" t="str">
        <f>IF(A80&lt;&gt;"",VLOOKUP($C$2&amp;N80,選手データ!A:H,7,FALSE),"")</f>
        <v/>
      </c>
      <c r="F80" s="130" t="str">
        <f>IF(A80&lt;&gt;"",VLOOKUP($C$2&amp;N80,選手データ!A:H,8,FALSE),"")</f>
        <v/>
      </c>
      <c r="G80" s="130" t="str">
        <f>IF(F80&lt;&gt;"",IF(DATEDIF(F80,設定!$B$12,"Y")&lt;20,"〇",""),"")</f>
        <v/>
      </c>
      <c r="H80" s="131" t="str">
        <f t="shared" ca="1" si="0"/>
        <v/>
      </c>
      <c r="I80" s="132" t="str">
        <f t="shared" ca="1" si="1"/>
        <v/>
      </c>
      <c r="J80" s="131" t="str">
        <f t="shared" ca="1" si="2"/>
        <v/>
      </c>
      <c r="K80" s="130" t="str">
        <f>IF(A80&lt;&gt;"",IF(COUNTIF(リレーチーム情報!$B$5:$B$10,A80&amp;E80)=1,"〇",""),"")</f>
        <v/>
      </c>
      <c r="L80" s="133" t="str">
        <f>IF(A80&lt;&gt;"",IF(COUNTIF(リレーチーム情報!$B$11:$B$16,A80&amp;E80)=1,"〇",""),"")</f>
        <v/>
      </c>
      <c r="M80" s="127">
        <f>IF(学校情報!$A$4&lt;&gt;"",0,IF(S79=0,MAX($M$37:M79)+1,M79))</f>
        <v>0</v>
      </c>
      <c r="N80" s="127" t="str">
        <f>IF(M80&lt;&gt;0,VLOOKUP(M80,選手情報!BF:BG,2,FALSE),"")</f>
        <v/>
      </c>
      <c r="O80" s="127" t="str">
        <f ca="1">IF(M80&lt;&gt;0,VLOOKUP(N80,OFFSET(選手情報!$A$6:$W$119,IF(M80&lt;&gt;M79,0,R79),0),13,FALSE),"")</f>
        <v/>
      </c>
      <c r="P80" s="127" t="str">
        <f ca="1">IF(M80&lt;&gt;0,VLOOKUP(N80,OFFSET(選手情報!$A$6:$W$119,IF(M80&lt;&gt;M79,0,R79),0),16,FALSE),"")</f>
        <v/>
      </c>
      <c r="Q80" s="127" t="str">
        <f ca="1">IF(M80&lt;&gt;0,VLOOKUP(N80,OFFSET(選手情報!$A$6:$W$119,IF(M80&lt;&gt;M79,0,R79),0),21,FALSE),"")</f>
        <v/>
      </c>
      <c r="R80" s="127">
        <f ca="1">IF(M80&lt;&gt;0,VLOOKUP(N80,OFFSET(選手情報!$A$6:$BD$119,IF(M80&lt;&gt;M79,0,R79),0),56,FALSE),0)</f>
        <v>0</v>
      </c>
      <c r="S80" s="127">
        <f ca="1">IF(M80&lt;&gt;0,IF(ISNA(R80),0,COUNTIF(OFFSET(選手情報!$A$6:$A$119,R80,0),N80)),0)</f>
        <v>0</v>
      </c>
      <c r="U80" s="127">
        <f t="shared" si="3"/>
        <v>0</v>
      </c>
      <c r="V80" s="127">
        <f t="shared" ca="1" si="4"/>
        <v>1</v>
      </c>
      <c r="W80" s="127">
        <f t="shared" ca="1" si="5"/>
        <v>0</v>
      </c>
      <c r="X80" s="127" t="str">
        <f t="shared" ca="1" si="6"/>
        <v/>
      </c>
      <c r="Y80" s="127" t="str">
        <f>IF($A80&lt;&gt;"",IF(ISNA(VLOOKUP($N80,選手情報!$A$6:$M$119,13,FALSE)),"","/"&amp;VLOOKUP($N80,選手情報!$A$6:$M$119,13,FALSE)),"")</f>
        <v/>
      </c>
      <c r="Z80" s="127" t="str">
        <f ca="1">IF(Y80&lt;&gt;"",IF(ISNA(VLOOKUP($N80,OFFSET(選手情報!$A$6:$BD$119,0,0),56,FALSE)),"",VLOOKUP($N80,OFFSET(選手情報!$A$6:$BD$119,0,0),56,FALSE)),"")</f>
        <v/>
      </c>
      <c r="AA80" s="127" t="str">
        <f ca="1">IF(Z80&lt;&gt;"",IF(ISNA(VLOOKUP($N80,OFFSET(選手情報!$A$6:$M$119,Z80,0),13,FALSE)),"","/"&amp;VLOOKUP($N80,OFFSET(選手情報!$A$6:$M$119,Z80,0),13,FALSE)),"")</f>
        <v/>
      </c>
      <c r="AB80" s="127" t="str">
        <f ca="1">IF(Z80&lt;&gt;"",IF(ISNA(VLOOKUP($N80,OFFSET(選手情報!$A$6:$BD$119,Z80,0),56,FALSE)),"",VLOOKUP($N80,OFFSET(選手情報!$A$6:$BD$119,Z80,0),56,FALSE)),"")</f>
        <v/>
      </c>
      <c r="AC80" s="127" t="str">
        <f ca="1">IF(AB80&lt;&gt;"",IF(ISNA(VLOOKUP($N80,OFFSET(選手情報!$A$6:$M$119,AB80,0),13,FALSE)),"","/"&amp;VLOOKUP($N80,OFFSET(選手情報!$A$6:$M$119,AB80,0),13,FALSE)),"")</f>
        <v/>
      </c>
      <c r="AD80" s="127" t="str">
        <f ca="1">IF(AB80&lt;&gt;"",IF(ISNA(VLOOKUP($N80,OFFSET(選手情報!$A$6:$BD$119,AB80,0),56,FALSE)),"",VLOOKUP($N80,OFFSET(選手情報!$A$6:$BD$119,AB80,0),56,FALSE)),"")</f>
        <v/>
      </c>
      <c r="AE80" s="127" t="str">
        <f ca="1">IF(AD80&lt;&gt;"",IF(ISNA(VLOOKUP($N80,OFFSET(選手情報!$A$6:$M$119,AD80,0),13,FALSE)),"","/"&amp;VLOOKUP($N80,OFFSET(選手情報!$A$6:$M$119,AD80,0),13,FALSE)),"")</f>
        <v/>
      </c>
      <c r="AF80" s="127" t="str">
        <f ca="1">IF(AD80&lt;&gt;"",IF(ISNA(VLOOKUP($N80,OFFSET(選手情報!$A$6:$BD$119,AD80,0),56,FALSE)),"",VLOOKUP($N80,OFFSET(選手情報!$A$6:$BD$119,AD80,0),56,FALSE)),"")</f>
        <v/>
      </c>
      <c r="AG80" s="127" t="str">
        <f ca="1">IF(AF80&lt;&gt;"",IF(ISNA(VLOOKUP($N80,OFFSET(選手情報!$A$6:$M$119,AF80,0),13,FALSE)),"","/"&amp;VLOOKUP($N80,OFFSET(選手情報!$A$6:$M$119,AF80,0),13,FALSE)),"")</f>
        <v/>
      </c>
      <c r="AH80" s="127" t="str">
        <f ca="1">IF(AF80&lt;&gt;"",IF(ISNA(VLOOKUP($N80,OFFSET(選手情報!$A$6:$BD$119,AF80,0),56,FALSE)),"",VLOOKUP($N80,OFFSET(選手情報!$A$6:$BD$119,AF80,0),56,FALSE)),"")</f>
        <v/>
      </c>
      <c r="AI80" s="127" t="str">
        <f ca="1">IF(AH80&lt;&gt;"",IF(ISNA(VLOOKUP($N80,OFFSET(選手情報!$A$6:$M$119,AH80,0),13,FALSE)),"","/"&amp;VLOOKUP($N80,OFFSET(選手情報!$A$6:$M$119,AH80,0),13,FALSE)),"")</f>
        <v/>
      </c>
      <c r="AJ80" s="127" t="str">
        <f ca="1">IF(AH80&lt;&gt;"",IF(ISNA(VLOOKUP($N80,OFFSET(選手情報!$A$6:$BD$119,AH80,0),56,FALSE)),"",VLOOKUP($N80,OFFSET(選手情報!$A$6:$BD$119,AH80,0),56,FALSE)),"")</f>
        <v/>
      </c>
      <c r="AK80" s="127" t="str">
        <f ca="1">IF(AJ80&lt;&gt;"",IF(ISNA(VLOOKUP($N80,OFFSET(選手情報!$A$6:$M$119,AJ80,0),13,FALSE)),"","/"&amp;VLOOKUP($N80,OFFSET(選手情報!$A$6:$M$119,AJ80,0),13,FALSE)),"")</f>
        <v/>
      </c>
      <c r="AL80" s="127" t="str">
        <f ca="1">IF(AJ80&lt;&gt;"",IF(ISNA(VLOOKUP($N80,OFFSET(選手情報!$A$6:$BD$119,AJ80,0),56,FALSE)),"",VLOOKUP($N80,OFFSET(選手情報!$A$6:$BD$119,AJ80,0),56,FALSE)),"")</f>
        <v/>
      </c>
      <c r="AM80" s="127" t="str">
        <f ca="1">IF(AL80&lt;&gt;"",IF(ISNA(VLOOKUP($N80,OFFSET(選手情報!$A$6:$M$119,AL80,0),13,FALSE)),"","/"&amp;VLOOKUP($N80,OFFSET(選手情報!$A$6:$M$119,AL80,0),13,FALSE)),"")</f>
        <v/>
      </c>
      <c r="AN80" s="127" t="str">
        <f ca="1">IF(AL80&lt;&gt;"",IF(ISNA(VLOOKUP($N80,OFFSET(選手情報!$A$6:$BD$119,AL80,0),56,FALSE)),"",VLOOKUP($N80,OFFSET(選手情報!$A$6:$BD$119,AL80,0),56,FALSE)),"")</f>
        <v/>
      </c>
      <c r="AO80" s="127" t="str">
        <f ca="1">IF(AN80&lt;&gt;"",IF(ISNA(VLOOKUP($N80,OFFSET(選手情報!$A$6:$M$119,AN80,0),13,FALSE)),"","/"&amp;VLOOKUP($N80,OFFSET(選手情報!$A$6:$M$119,AN80,0),13,FALSE)),"")</f>
        <v/>
      </c>
      <c r="AP80" s="127" t="str">
        <f ca="1">IF(AN80&lt;&gt;"",IF(ISNA(VLOOKUP($N80,OFFSET(選手情報!$A$6:$BD$119,AN80,0),56,FALSE)),"",VLOOKUP($N80,OFFSET(選手情報!$A$6:$BD$119,AN80,0),56,FALSE)),"")</f>
        <v/>
      </c>
      <c r="AQ80" s="127" t="str">
        <f ca="1">IF(AP80&lt;&gt;"",IF(ISNA(VLOOKUP($N80,OFFSET(選手情報!$A$6:$M$119,AP80,0),13,FALSE)),"","/"&amp;VLOOKUP($N80,OFFSET(選手情報!$A$6:$M$119,AP80,0),13,FALSE)),"")</f>
        <v/>
      </c>
      <c r="AR80" s="127" t="str">
        <f ca="1">IF(AP80&lt;&gt;"",IF(ISNA(VLOOKUP($N80,OFFSET(選手情報!$A$6:$BD$119,AP80,0),56,FALSE)),"",VLOOKUP($N80,OFFSET(選手情報!$A$6:$BD$119,AP80,0),56,FALSE)),"")</f>
        <v/>
      </c>
      <c r="AS80" s="127" t="str">
        <f ca="1">IF(AR80&lt;&gt;"",IF(ISNA(VLOOKUP($N80,OFFSET(選手情報!$A$6:$M$119,AR80,0),13,FALSE)),"","/"&amp;VLOOKUP($N80,OFFSET(選手情報!$A$6:$M$119,AR80,0),13,FALSE)),"")</f>
        <v/>
      </c>
      <c r="AT80" s="127" t="str">
        <f ca="1">IF(AR80&lt;&gt;"",IF(ISNA(VLOOKUP($N80,OFFSET(選手情報!$A$6:$BD$119,AR80,0),56,FALSE)),"",VLOOKUP($N80,OFFSET(選手情報!$A$6:$BD$119,AR80,0),56,FALSE)),"")</f>
        <v/>
      </c>
      <c r="AU80" s="127" t="str">
        <f ca="1">IF(AT80&lt;&gt;"",IF(ISNA(VLOOKUP($N80,OFFSET(選手情報!$A$6:$M$119,AT80,0),13,FALSE)),"","/"&amp;VLOOKUP($N80,OFFSET(選手情報!$A$6:$M$119,AT80,0),13,FALSE)),"")</f>
        <v/>
      </c>
      <c r="AV80" s="127" t="str">
        <f ca="1">IF(AT80&lt;&gt;"",IF(ISNA(VLOOKUP($N80,OFFSET(選手情報!$A$6:$BD$119,AT80,0),56,FALSE)),"",VLOOKUP($N80,OFFSET(選手情報!$A$6:$BD$119,AT80,0),56,FALSE)),"")</f>
        <v/>
      </c>
      <c r="AW80" s="127" t="str">
        <f ca="1">IF(AV80&lt;&gt;"",IF(ISNA(VLOOKUP($N80,OFFSET(選手情報!$A$6:$M$119,AV80,0),13,FALSE)),"","/"&amp;VLOOKUP($N80,OFFSET(選手情報!$A$6:$M$119,AV80,0),13,FALSE)),"")</f>
        <v/>
      </c>
      <c r="AX80" s="127" t="str">
        <f ca="1">IF(AV80&lt;&gt;"",IF(ISNA(VLOOKUP($N80,OFFSET(選手情報!$A$6:$BD$119,AV80,0),56,FALSE)),"",VLOOKUP($N80,OFFSET(選手情報!$A$6:$BD$119,AV80,0),56,FALSE)),"")</f>
        <v/>
      </c>
      <c r="AY80" s="127" t="str">
        <f ca="1">IF(AX80&lt;&gt;"",IF(ISNA(VLOOKUP($N80,OFFSET(選手情報!$A$6:$M$119,AX80,0),13,FALSE)),"","/"&amp;VLOOKUP($N80,OFFSET(選手情報!$A$6:$M$119,AX80,0),13,FALSE)),"")</f>
        <v/>
      </c>
      <c r="AZ80" s="127" t="str">
        <f ca="1">IF(AX80&lt;&gt;"",IF(ISNA(VLOOKUP($N80,OFFSET(選手情報!$A$6:$BD$119,AX80,0),56,FALSE)),"",VLOOKUP($N80,OFFSET(選手情報!$A$6:$BD$119,AX80,0),56,FALSE)),"")</f>
        <v/>
      </c>
      <c r="BA80" s="127" t="str">
        <f ca="1">IF(AZ80&lt;&gt;"",IF(ISNA(VLOOKUP($N80,OFFSET(選手情報!$A$6:$M$119,AZ80,0),13,FALSE)),"","/"&amp;VLOOKUP($N80,OFFSET(選手情報!$A$6:$M$119,AZ80,0),13,FALSE)),"")</f>
        <v/>
      </c>
      <c r="BB80" s="127" t="str">
        <f ca="1">IF(AZ80&lt;&gt;"",IF(ISNA(VLOOKUP($N80,OFFSET(選手情報!$A$6:$BD$119,AZ80,0),56,FALSE)),"",VLOOKUP($N80,OFFSET(選手情報!$A$6:$BD$119,AZ80,0),56,FALSE)),"")</f>
        <v/>
      </c>
      <c r="BC80" s="127" t="str">
        <f ca="1">IF(BB80&lt;&gt;"",IF(ISNA(VLOOKUP($N80,OFFSET(選手情報!$A$6:$M$119,BB80,0),13,FALSE)),"","/"&amp;VLOOKUP($N80,OFFSET(選手情報!$A$6:$M$119,BB80,0),13,FALSE)),"")</f>
        <v/>
      </c>
      <c r="BD80" s="127" t="str">
        <f ca="1">IF(BB80&lt;&gt;"",IF(ISNA(VLOOKUP($N80,OFFSET(選手情報!$A$6:$BD$119,BB80,0),56,FALSE)),"",VLOOKUP($N80,OFFSET(選手情報!$A$6:$BD$119,BB80,0),56,FALSE)),"")</f>
        <v/>
      </c>
      <c r="BE80" s="127" t="str">
        <f ca="1">IF(BD80&lt;&gt;"",IF(ISNA(VLOOKUP($N80,OFFSET(選手情報!$A$6:$M$119,BD80,0),13,FALSE)),"","/"&amp;VLOOKUP($N80,OFFSET(選手情報!$A$6:$M$119,BD80,0),13,FALSE)),"")</f>
        <v/>
      </c>
      <c r="BF80" s="127" t="str">
        <f ca="1">IF(BD80&lt;&gt;"",IF(ISNA(VLOOKUP($N80,OFFSET(選手情報!$A$6:$BD$119,BD80,0),56,FALSE)),"",VLOOKUP($N80,OFFSET(選手情報!$A$6:$BD$119,BD80,0),56,FALSE)),"")</f>
        <v/>
      </c>
      <c r="BG80" s="127" t="str">
        <f ca="1">IF(BF80&lt;&gt;"",IF(ISNA(VLOOKUP($N80,OFFSET(選手情報!$A$6:$M$119,BF80,0),13,FALSE)),"","/"&amp;VLOOKUP($N80,OFFSET(選手情報!$A$6:$M$119,BF80,0),13,FALSE)),"")</f>
        <v/>
      </c>
      <c r="BH80" s="127" t="str">
        <f ca="1">IF(BF80&lt;&gt;"",IF(ISNA(VLOOKUP($N80,OFFSET(選手情報!$A$6:$BD$119,BF80,0),56,FALSE)),"",VLOOKUP($N80,OFFSET(選手情報!$A$6:$BD$119,BF80,0),56,FALSE)),"")</f>
        <v/>
      </c>
      <c r="BI80" s="127" t="str">
        <f ca="1">IF(BH80&lt;&gt;"",IF(ISNA(VLOOKUP($N80,OFFSET(選手情報!$A$6:$M$119,BH80,0),13,FALSE)),"","/"&amp;VLOOKUP($N80,OFFSET(選手情報!$A$6:$M$119,BH80,0),13,FALSE)),"")</f>
        <v/>
      </c>
    </row>
    <row r="81" spans="1:61" s="127" customFormat="1" ht="12.6" customHeight="1">
      <c r="A81" s="128" t="str">
        <f>IF(ISNA(VLOOKUP($C$2&amp;N81,選手データ!A:H,3,FALSE)),"",IF(M81&lt;&gt;M80,VLOOKUP($C$2&amp;N81,選手データ!A:H,3,FALSE),""))</f>
        <v/>
      </c>
      <c r="B81" s="129" t="str">
        <f>IF(A81&lt;&gt;"",VLOOKUP($C$2&amp;N81,選手データ!A:H,4,FALSE),"")</f>
        <v/>
      </c>
      <c r="C81" s="129" t="str">
        <f>IF(A81&lt;&gt;"",VLOOKUP($C$2&amp;N81,選手データ!A:H,5,FALSE),"")</f>
        <v/>
      </c>
      <c r="D81" s="129" t="str">
        <f>IF(A81&lt;&gt;"",VLOOKUP($C$2&amp;N81,選手データ!A:H,6,FALSE),"")</f>
        <v/>
      </c>
      <c r="E81" s="129" t="str">
        <f>IF(A81&lt;&gt;"",VLOOKUP($C$2&amp;N81,選手データ!A:H,7,FALSE),"")</f>
        <v/>
      </c>
      <c r="F81" s="130" t="str">
        <f>IF(A81&lt;&gt;"",VLOOKUP($C$2&amp;N81,選手データ!A:H,8,FALSE),"")</f>
        <v/>
      </c>
      <c r="G81" s="130" t="str">
        <f>IF(F81&lt;&gt;"",IF(DATEDIF(F81,設定!$B$12,"Y")&lt;20,"〇",""),"")</f>
        <v/>
      </c>
      <c r="H81" s="131" t="str">
        <f t="shared" ca="1" si="0"/>
        <v/>
      </c>
      <c r="I81" s="132" t="str">
        <f t="shared" ca="1" si="1"/>
        <v/>
      </c>
      <c r="J81" s="131" t="str">
        <f t="shared" ca="1" si="2"/>
        <v/>
      </c>
      <c r="K81" s="130" t="str">
        <f>IF(A81&lt;&gt;"",IF(COUNTIF(リレーチーム情報!$B$5:$B$10,A81&amp;E81)=1,"〇",""),"")</f>
        <v/>
      </c>
      <c r="L81" s="133" t="str">
        <f>IF(A81&lt;&gt;"",IF(COUNTIF(リレーチーム情報!$B$11:$B$16,A81&amp;E81)=1,"〇",""),"")</f>
        <v/>
      </c>
      <c r="M81" s="127">
        <f>IF(学校情報!$A$4&lt;&gt;"",0,IF(S80=0,MAX($M$37:M80)+1,M80))</f>
        <v>0</v>
      </c>
      <c r="N81" s="127" t="str">
        <f>IF(M81&lt;&gt;0,VLOOKUP(M81,選手情報!BF:BG,2,FALSE),"")</f>
        <v/>
      </c>
      <c r="O81" s="127" t="str">
        <f ca="1">IF(M81&lt;&gt;0,VLOOKUP(N81,OFFSET(選手情報!$A$6:$W$119,IF(M81&lt;&gt;M80,0,R80),0),13,FALSE),"")</f>
        <v/>
      </c>
      <c r="P81" s="127" t="str">
        <f ca="1">IF(M81&lt;&gt;0,VLOOKUP(N81,OFFSET(選手情報!$A$6:$W$119,IF(M81&lt;&gt;M80,0,R80),0),16,FALSE),"")</f>
        <v/>
      </c>
      <c r="Q81" s="127" t="str">
        <f ca="1">IF(M81&lt;&gt;0,VLOOKUP(N81,OFFSET(選手情報!$A$6:$W$119,IF(M81&lt;&gt;M80,0,R80),0),21,FALSE),"")</f>
        <v/>
      </c>
      <c r="R81" s="127">
        <f ca="1">IF(M81&lt;&gt;0,VLOOKUP(N81,OFFSET(選手情報!$A$6:$BD$119,IF(M81&lt;&gt;M80,0,R80),0),56,FALSE),0)</f>
        <v>0</v>
      </c>
      <c r="S81" s="127">
        <f ca="1">IF(M81&lt;&gt;0,IF(ISNA(R81),0,COUNTIF(OFFSET(選手情報!$A$6:$A$119,R81,0),N81)),0)</f>
        <v>0</v>
      </c>
      <c r="U81" s="127">
        <f t="shared" si="3"/>
        <v>0</v>
      </c>
      <c r="V81" s="127">
        <f t="shared" ca="1" si="4"/>
        <v>1</v>
      </c>
      <c r="W81" s="127">
        <f t="shared" ca="1" si="5"/>
        <v>0</v>
      </c>
      <c r="X81" s="127" t="str">
        <f t="shared" ca="1" si="6"/>
        <v/>
      </c>
      <c r="Y81" s="127" t="str">
        <f>IF($A81&lt;&gt;"",IF(ISNA(VLOOKUP($N81,選手情報!$A$6:$M$119,13,FALSE)),"","/"&amp;VLOOKUP($N81,選手情報!$A$6:$M$119,13,FALSE)),"")</f>
        <v/>
      </c>
      <c r="Z81" s="127" t="str">
        <f ca="1">IF(Y81&lt;&gt;"",IF(ISNA(VLOOKUP($N81,OFFSET(選手情報!$A$6:$BD$119,0,0),56,FALSE)),"",VLOOKUP($N81,OFFSET(選手情報!$A$6:$BD$119,0,0),56,FALSE)),"")</f>
        <v/>
      </c>
      <c r="AA81" s="127" t="str">
        <f ca="1">IF(Z81&lt;&gt;"",IF(ISNA(VLOOKUP($N81,OFFSET(選手情報!$A$6:$M$119,Z81,0),13,FALSE)),"","/"&amp;VLOOKUP($N81,OFFSET(選手情報!$A$6:$M$119,Z81,0),13,FALSE)),"")</f>
        <v/>
      </c>
      <c r="AB81" s="127" t="str">
        <f ca="1">IF(Z81&lt;&gt;"",IF(ISNA(VLOOKUP($N81,OFFSET(選手情報!$A$6:$BD$119,Z81,0),56,FALSE)),"",VLOOKUP($N81,OFFSET(選手情報!$A$6:$BD$119,Z81,0),56,FALSE)),"")</f>
        <v/>
      </c>
      <c r="AC81" s="127" t="str">
        <f ca="1">IF(AB81&lt;&gt;"",IF(ISNA(VLOOKUP($N81,OFFSET(選手情報!$A$6:$M$119,AB81,0),13,FALSE)),"","/"&amp;VLOOKUP($N81,OFFSET(選手情報!$A$6:$M$119,AB81,0),13,FALSE)),"")</f>
        <v/>
      </c>
      <c r="AD81" s="127" t="str">
        <f ca="1">IF(AB81&lt;&gt;"",IF(ISNA(VLOOKUP($N81,OFFSET(選手情報!$A$6:$BD$119,AB81,0),56,FALSE)),"",VLOOKUP($N81,OFFSET(選手情報!$A$6:$BD$119,AB81,0),56,FALSE)),"")</f>
        <v/>
      </c>
      <c r="AE81" s="127" t="str">
        <f ca="1">IF(AD81&lt;&gt;"",IF(ISNA(VLOOKUP($N81,OFFSET(選手情報!$A$6:$M$119,AD81,0),13,FALSE)),"","/"&amp;VLOOKUP($N81,OFFSET(選手情報!$A$6:$M$119,AD81,0),13,FALSE)),"")</f>
        <v/>
      </c>
      <c r="AF81" s="127" t="str">
        <f ca="1">IF(AD81&lt;&gt;"",IF(ISNA(VLOOKUP($N81,OFFSET(選手情報!$A$6:$BD$119,AD81,0),56,FALSE)),"",VLOOKUP($N81,OFFSET(選手情報!$A$6:$BD$119,AD81,0),56,FALSE)),"")</f>
        <v/>
      </c>
      <c r="AG81" s="127" t="str">
        <f ca="1">IF(AF81&lt;&gt;"",IF(ISNA(VLOOKUP($N81,OFFSET(選手情報!$A$6:$M$119,AF81,0),13,FALSE)),"","/"&amp;VLOOKUP($N81,OFFSET(選手情報!$A$6:$M$119,AF81,0),13,FALSE)),"")</f>
        <v/>
      </c>
      <c r="AH81" s="127" t="str">
        <f ca="1">IF(AF81&lt;&gt;"",IF(ISNA(VLOOKUP($N81,OFFSET(選手情報!$A$6:$BD$119,AF81,0),56,FALSE)),"",VLOOKUP($N81,OFFSET(選手情報!$A$6:$BD$119,AF81,0),56,FALSE)),"")</f>
        <v/>
      </c>
      <c r="AI81" s="127" t="str">
        <f ca="1">IF(AH81&lt;&gt;"",IF(ISNA(VLOOKUP($N81,OFFSET(選手情報!$A$6:$M$119,AH81,0),13,FALSE)),"","/"&amp;VLOOKUP($N81,OFFSET(選手情報!$A$6:$M$119,AH81,0),13,FALSE)),"")</f>
        <v/>
      </c>
      <c r="AJ81" s="127" t="str">
        <f ca="1">IF(AH81&lt;&gt;"",IF(ISNA(VLOOKUP($N81,OFFSET(選手情報!$A$6:$BD$119,AH81,0),56,FALSE)),"",VLOOKUP($N81,OFFSET(選手情報!$A$6:$BD$119,AH81,0),56,FALSE)),"")</f>
        <v/>
      </c>
      <c r="AK81" s="127" t="str">
        <f ca="1">IF(AJ81&lt;&gt;"",IF(ISNA(VLOOKUP($N81,OFFSET(選手情報!$A$6:$M$119,AJ81,0),13,FALSE)),"","/"&amp;VLOOKUP($N81,OFFSET(選手情報!$A$6:$M$119,AJ81,0),13,FALSE)),"")</f>
        <v/>
      </c>
      <c r="AL81" s="127" t="str">
        <f ca="1">IF(AJ81&lt;&gt;"",IF(ISNA(VLOOKUP($N81,OFFSET(選手情報!$A$6:$BD$119,AJ81,0),56,FALSE)),"",VLOOKUP($N81,OFFSET(選手情報!$A$6:$BD$119,AJ81,0),56,FALSE)),"")</f>
        <v/>
      </c>
      <c r="AM81" s="127" t="str">
        <f ca="1">IF(AL81&lt;&gt;"",IF(ISNA(VLOOKUP($N81,OFFSET(選手情報!$A$6:$M$119,AL81,0),13,FALSE)),"","/"&amp;VLOOKUP($N81,OFFSET(選手情報!$A$6:$M$119,AL81,0),13,FALSE)),"")</f>
        <v/>
      </c>
      <c r="AN81" s="127" t="str">
        <f ca="1">IF(AL81&lt;&gt;"",IF(ISNA(VLOOKUP($N81,OFFSET(選手情報!$A$6:$BD$119,AL81,0),56,FALSE)),"",VLOOKUP($N81,OFFSET(選手情報!$A$6:$BD$119,AL81,0),56,FALSE)),"")</f>
        <v/>
      </c>
      <c r="AO81" s="127" t="str">
        <f ca="1">IF(AN81&lt;&gt;"",IF(ISNA(VLOOKUP($N81,OFFSET(選手情報!$A$6:$M$119,AN81,0),13,FALSE)),"","/"&amp;VLOOKUP($N81,OFFSET(選手情報!$A$6:$M$119,AN81,0),13,FALSE)),"")</f>
        <v/>
      </c>
      <c r="AP81" s="127" t="str">
        <f ca="1">IF(AN81&lt;&gt;"",IF(ISNA(VLOOKUP($N81,OFFSET(選手情報!$A$6:$BD$119,AN81,0),56,FALSE)),"",VLOOKUP($N81,OFFSET(選手情報!$A$6:$BD$119,AN81,0),56,FALSE)),"")</f>
        <v/>
      </c>
      <c r="AQ81" s="127" t="str">
        <f ca="1">IF(AP81&lt;&gt;"",IF(ISNA(VLOOKUP($N81,OFFSET(選手情報!$A$6:$M$119,AP81,0),13,FALSE)),"","/"&amp;VLOOKUP($N81,OFFSET(選手情報!$A$6:$M$119,AP81,0),13,FALSE)),"")</f>
        <v/>
      </c>
      <c r="AR81" s="127" t="str">
        <f ca="1">IF(AP81&lt;&gt;"",IF(ISNA(VLOOKUP($N81,OFFSET(選手情報!$A$6:$BD$119,AP81,0),56,FALSE)),"",VLOOKUP($N81,OFFSET(選手情報!$A$6:$BD$119,AP81,0),56,FALSE)),"")</f>
        <v/>
      </c>
      <c r="AS81" s="127" t="str">
        <f ca="1">IF(AR81&lt;&gt;"",IF(ISNA(VLOOKUP($N81,OFFSET(選手情報!$A$6:$M$119,AR81,0),13,FALSE)),"","/"&amp;VLOOKUP($N81,OFFSET(選手情報!$A$6:$M$119,AR81,0),13,FALSE)),"")</f>
        <v/>
      </c>
      <c r="AT81" s="127" t="str">
        <f ca="1">IF(AR81&lt;&gt;"",IF(ISNA(VLOOKUP($N81,OFFSET(選手情報!$A$6:$BD$119,AR81,0),56,FALSE)),"",VLOOKUP($N81,OFFSET(選手情報!$A$6:$BD$119,AR81,0),56,FALSE)),"")</f>
        <v/>
      </c>
      <c r="AU81" s="127" t="str">
        <f ca="1">IF(AT81&lt;&gt;"",IF(ISNA(VLOOKUP($N81,OFFSET(選手情報!$A$6:$M$119,AT81,0),13,FALSE)),"","/"&amp;VLOOKUP($N81,OFFSET(選手情報!$A$6:$M$119,AT81,0),13,FALSE)),"")</f>
        <v/>
      </c>
      <c r="AV81" s="127" t="str">
        <f ca="1">IF(AT81&lt;&gt;"",IF(ISNA(VLOOKUP($N81,OFFSET(選手情報!$A$6:$BD$119,AT81,0),56,FALSE)),"",VLOOKUP($N81,OFFSET(選手情報!$A$6:$BD$119,AT81,0),56,FALSE)),"")</f>
        <v/>
      </c>
      <c r="AW81" s="127" t="str">
        <f ca="1">IF(AV81&lt;&gt;"",IF(ISNA(VLOOKUP($N81,OFFSET(選手情報!$A$6:$M$119,AV81,0),13,FALSE)),"","/"&amp;VLOOKUP($N81,OFFSET(選手情報!$A$6:$M$119,AV81,0),13,FALSE)),"")</f>
        <v/>
      </c>
      <c r="AX81" s="127" t="str">
        <f ca="1">IF(AV81&lt;&gt;"",IF(ISNA(VLOOKUP($N81,OFFSET(選手情報!$A$6:$BD$119,AV81,0),56,FALSE)),"",VLOOKUP($N81,OFFSET(選手情報!$A$6:$BD$119,AV81,0),56,FALSE)),"")</f>
        <v/>
      </c>
      <c r="AY81" s="127" t="str">
        <f ca="1">IF(AX81&lt;&gt;"",IF(ISNA(VLOOKUP($N81,OFFSET(選手情報!$A$6:$M$119,AX81,0),13,FALSE)),"","/"&amp;VLOOKUP($N81,OFFSET(選手情報!$A$6:$M$119,AX81,0),13,FALSE)),"")</f>
        <v/>
      </c>
      <c r="AZ81" s="127" t="str">
        <f ca="1">IF(AX81&lt;&gt;"",IF(ISNA(VLOOKUP($N81,OFFSET(選手情報!$A$6:$BD$119,AX81,0),56,FALSE)),"",VLOOKUP($N81,OFFSET(選手情報!$A$6:$BD$119,AX81,0),56,FALSE)),"")</f>
        <v/>
      </c>
      <c r="BA81" s="127" t="str">
        <f ca="1">IF(AZ81&lt;&gt;"",IF(ISNA(VLOOKUP($N81,OFFSET(選手情報!$A$6:$M$119,AZ81,0),13,FALSE)),"","/"&amp;VLOOKUP($N81,OFFSET(選手情報!$A$6:$M$119,AZ81,0),13,FALSE)),"")</f>
        <v/>
      </c>
      <c r="BB81" s="127" t="str">
        <f ca="1">IF(AZ81&lt;&gt;"",IF(ISNA(VLOOKUP($N81,OFFSET(選手情報!$A$6:$BD$119,AZ81,0),56,FALSE)),"",VLOOKUP($N81,OFFSET(選手情報!$A$6:$BD$119,AZ81,0),56,FALSE)),"")</f>
        <v/>
      </c>
      <c r="BC81" s="127" t="str">
        <f ca="1">IF(BB81&lt;&gt;"",IF(ISNA(VLOOKUP($N81,OFFSET(選手情報!$A$6:$M$119,BB81,0),13,FALSE)),"","/"&amp;VLOOKUP($N81,OFFSET(選手情報!$A$6:$M$119,BB81,0),13,FALSE)),"")</f>
        <v/>
      </c>
      <c r="BD81" s="127" t="str">
        <f ca="1">IF(BB81&lt;&gt;"",IF(ISNA(VLOOKUP($N81,OFFSET(選手情報!$A$6:$BD$119,BB81,0),56,FALSE)),"",VLOOKUP($N81,OFFSET(選手情報!$A$6:$BD$119,BB81,0),56,FALSE)),"")</f>
        <v/>
      </c>
      <c r="BE81" s="127" t="str">
        <f ca="1">IF(BD81&lt;&gt;"",IF(ISNA(VLOOKUP($N81,OFFSET(選手情報!$A$6:$M$119,BD81,0),13,FALSE)),"","/"&amp;VLOOKUP($N81,OFFSET(選手情報!$A$6:$M$119,BD81,0),13,FALSE)),"")</f>
        <v/>
      </c>
      <c r="BF81" s="127" t="str">
        <f ca="1">IF(BD81&lt;&gt;"",IF(ISNA(VLOOKUP($N81,OFFSET(選手情報!$A$6:$BD$119,BD81,0),56,FALSE)),"",VLOOKUP($N81,OFFSET(選手情報!$A$6:$BD$119,BD81,0),56,FALSE)),"")</f>
        <v/>
      </c>
      <c r="BG81" s="127" t="str">
        <f ca="1">IF(BF81&lt;&gt;"",IF(ISNA(VLOOKUP($N81,OFFSET(選手情報!$A$6:$M$119,BF81,0),13,FALSE)),"","/"&amp;VLOOKUP($N81,OFFSET(選手情報!$A$6:$M$119,BF81,0),13,FALSE)),"")</f>
        <v/>
      </c>
      <c r="BH81" s="127" t="str">
        <f ca="1">IF(BF81&lt;&gt;"",IF(ISNA(VLOOKUP($N81,OFFSET(選手情報!$A$6:$BD$119,BF81,0),56,FALSE)),"",VLOOKUP($N81,OFFSET(選手情報!$A$6:$BD$119,BF81,0),56,FALSE)),"")</f>
        <v/>
      </c>
      <c r="BI81" s="127" t="str">
        <f ca="1">IF(BH81&lt;&gt;"",IF(ISNA(VLOOKUP($N81,OFFSET(選手情報!$A$6:$M$119,BH81,0),13,FALSE)),"","/"&amp;VLOOKUP($N81,OFFSET(選手情報!$A$6:$M$119,BH81,0),13,FALSE)),"")</f>
        <v/>
      </c>
    </row>
    <row r="82" spans="1:61" s="127" customFormat="1" ht="12.6" customHeight="1">
      <c r="A82" s="128" t="str">
        <f>IF(ISNA(VLOOKUP($C$2&amp;N82,選手データ!A:H,3,FALSE)),"",IF(M82&lt;&gt;M81,VLOOKUP($C$2&amp;N82,選手データ!A:H,3,FALSE),""))</f>
        <v/>
      </c>
      <c r="B82" s="129" t="str">
        <f>IF(A82&lt;&gt;"",VLOOKUP($C$2&amp;N82,選手データ!A:H,4,FALSE),"")</f>
        <v/>
      </c>
      <c r="C82" s="129" t="str">
        <f>IF(A82&lt;&gt;"",VLOOKUP($C$2&amp;N82,選手データ!A:H,5,FALSE),"")</f>
        <v/>
      </c>
      <c r="D82" s="129" t="str">
        <f>IF(A82&lt;&gt;"",VLOOKUP($C$2&amp;N82,選手データ!A:H,6,FALSE),"")</f>
        <v/>
      </c>
      <c r="E82" s="129" t="str">
        <f>IF(A82&lt;&gt;"",VLOOKUP($C$2&amp;N82,選手データ!A:H,7,FALSE),"")</f>
        <v/>
      </c>
      <c r="F82" s="130" t="str">
        <f>IF(A82&lt;&gt;"",VLOOKUP($C$2&amp;N82,選手データ!A:H,8,FALSE),"")</f>
        <v/>
      </c>
      <c r="G82" s="130" t="str">
        <f>IF(F82&lt;&gt;"",IF(DATEDIF(F82,設定!$B$12,"Y")&lt;20,"〇",""),"")</f>
        <v/>
      </c>
      <c r="H82" s="131" t="str">
        <f t="shared" ca="1" si="0"/>
        <v/>
      </c>
      <c r="I82" s="132" t="str">
        <f t="shared" ca="1" si="1"/>
        <v/>
      </c>
      <c r="J82" s="131" t="str">
        <f t="shared" ca="1" si="2"/>
        <v/>
      </c>
      <c r="K82" s="130" t="str">
        <f>IF(A82&lt;&gt;"",IF(COUNTIF(リレーチーム情報!$B$5:$B$10,A82&amp;E82)=1,"〇",""),"")</f>
        <v/>
      </c>
      <c r="L82" s="133" t="str">
        <f>IF(A82&lt;&gt;"",IF(COUNTIF(リレーチーム情報!$B$11:$B$16,A82&amp;E82)=1,"〇",""),"")</f>
        <v/>
      </c>
      <c r="M82" s="127">
        <f>IF(学校情報!$A$4&lt;&gt;"",0,IF(S81=0,MAX($M$37:M81)+1,M81))</f>
        <v>0</v>
      </c>
      <c r="N82" s="127" t="str">
        <f>IF(M82&lt;&gt;0,VLOOKUP(M82,選手情報!BF:BG,2,FALSE),"")</f>
        <v/>
      </c>
      <c r="O82" s="127" t="str">
        <f ca="1">IF(M82&lt;&gt;0,VLOOKUP(N82,OFFSET(選手情報!$A$6:$W$119,IF(M82&lt;&gt;M81,0,R81),0),13,FALSE),"")</f>
        <v/>
      </c>
      <c r="P82" s="127" t="str">
        <f ca="1">IF(M82&lt;&gt;0,VLOOKUP(N82,OFFSET(選手情報!$A$6:$W$119,IF(M82&lt;&gt;M81,0,R81),0),16,FALSE),"")</f>
        <v/>
      </c>
      <c r="Q82" s="127" t="str">
        <f ca="1">IF(M82&lt;&gt;0,VLOOKUP(N82,OFFSET(選手情報!$A$6:$W$119,IF(M82&lt;&gt;M81,0,R81),0),21,FALSE),"")</f>
        <v/>
      </c>
      <c r="R82" s="127">
        <f ca="1">IF(M82&lt;&gt;0,VLOOKUP(N82,OFFSET(選手情報!$A$6:$BD$119,IF(M82&lt;&gt;M81,0,R81),0),56,FALSE),0)</f>
        <v>0</v>
      </c>
      <c r="S82" s="127">
        <f ca="1">IF(M82&lt;&gt;0,IF(ISNA(R82),0,COUNTIF(OFFSET(選手情報!$A$6:$A$119,R82,0),N82)),0)</f>
        <v>0</v>
      </c>
      <c r="U82" s="127">
        <f t="shared" si="3"/>
        <v>0</v>
      </c>
      <c r="V82" s="127">
        <f t="shared" ca="1" si="4"/>
        <v>1</v>
      </c>
      <c r="W82" s="127">
        <f t="shared" ca="1" si="5"/>
        <v>0</v>
      </c>
      <c r="X82" s="127" t="str">
        <f t="shared" ca="1" si="6"/>
        <v/>
      </c>
      <c r="Y82" s="127" t="str">
        <f>IF($A82&lt;&gt;"",IF(ISNA(VLOOKUP($N82,選手情報!$A$6:$M$119,13,FALSE)),"","/"&amp;VLOOKUP($N82,選手情報!$A$6:$M$119,13,FALSE)),"")</f>
        <v/>
      </c>
      <c r="Z82" s="127" t="str">
        <f ca="1">IF(Y82&lt;&gt;"",IF(ISNA(VLOOKUP($N82,OFFSET(選手情報!$A$6:$BD$119,0,0),56,FALSE)),"",VLOOKUP($N82,OFFSET(選手情報!$A$6:$BD$119,0,0),56,FALSE)),"")</f>
        <v/>
      </c>
      <c r="AA82" s="127" t="str">
        <f ca="1">IF(Z82&lt;&gt;"",IF(ISNA(VLOOKUP($N82,OFFSET(選手情報!$A$6:$M$119,Z82,0),13,FALSE)),"","/"&amp;VLOOKUP($N82,OFFSET(選手情報!$A$6:$M$119,Z82,0),13,FALSE)),"")</f>
        <v/>
      </c>
      <c r="AB82" s="127" t="str">
        <f ca="1">IF(Z82&lt;&gt;"",IF(ISNA(VLOOKUP($N82,OFFSET(選手情報!$A$6:$BD$119,Z82,0),56,FALSE)),"",VLOOKUP($N82,OFFSET(選手情報!$A$6:$BD$119,Z82,0),56,FALSE)),"")</f>
        <v/>
      </c>
      <c r="AC82" s="127" t="str">
        <f ca="1">IF(AB82&lt;&gt;"",IF(ISNA(VLOOKUP($N82,OFFSET(選手情報!$A$6:$M$119,AB82,0),13,FALSE)),"","/"&amp;VLOOKUP($N82,OFFSET(選手情報!$A$6:$M$119,AB82,0),13,FALSE)),"")</f>
        <v/>
      </c>
      <c r="AD82" s="127" t="str">
        <f ca="1">IF(AB82&lt;&gt;"",IF(ISNA(VLOOKUP($N82,OFFSET(選手情報!$A$6:$BD$119,AB82,0),56,FALSE)),"",VLOOKUP($N82,OFFSET(選手情報!$A$6:$BD$119,AB82,0),56,FALSE)),"")</f>
        <v/>
      </c>
      <c r="AE82" s="127" t="str">
        <f ca="1">IF(AD82&lt;&gt;"",IF(ISNA(VLOOKUP($N82,OFFSET(選手情報!$A$6:$M$119,AD82,0),13,FALSE)),"","/"&amp;VLOOKUP($N82,OFFSET(選手情報!$A$6:$M$119,AD82,0),13,FALSE)),"")</f>
        <v/>
      </c>
      <c r="AF82" s="127" t="str">
        <f ca="1">IF(AD82&lt;&gt;"",IF(ISNA(VLOOKUP($N82,OFFSET(選手情報!$A$6:$BD$119,AD82,0),56,FALSE)),"",VLOOKUP($N82,OFFSET(選手情報!$A$6:$BD$119,AD82,0),56,FALSE)),"")</f>
        <v/>
      </c>
      <c r="AG82" s="127" t="str">
        <f ca="1">IF(AF82&lt;&gt;"",IF(ISNA(VLOOKUP($N82,OFFSET(選手情報!$A$6:$M$119,AF82,0),13,FALSE)),"","/"&amp;VLOOKUP($N82,OFFSET(選手情報!$A$6:$M$119,AF82,0),13,FALSE)),"")</f>
        <v/>
      </c>
      <c r="AH82" s="127" t="str">
        <f ca="1">IF(AF82&lt;&gt;"",IF(ISNA(VLOOKUP($N82,OFFSET(選手情報!$A$6:$BD$119,AF82,0),56,FALSE)),"",VLOOKUP($N82,OFFSET(選手情報!$A$6:$BD$119,AF82,0),56,FALSE)),"")</f>
        <v/>
      </c>
      <c r="AI82" s="127" t="str">
        <f ca="1">IF(AH82&lt;&gt;"",IF(ISNA(VLOOKUP($N82,OFFSET(選手情報!$A$6:$M$119,AH82,0),13,FALSE)),"","/"&amp;VLOOKUP($N82,OFFSET(選手情報!$A$6:$M$119,AH82,0),13,FALSE)),"")</f>
        <v/>
      </c>
      <c r="AJ82" s="127" t="str">
        <f ca="1">IF(AH82&lt;&gt;"",IF(ISNA(VLOOKUP($N82,OFFSET(選手情報!$A$6:$BD$119,AH82,0),56,FALSE)),"",VLOOKUP($N82,OFFSET(選手情報!$A$6:$BD$119,AH82,0),56,FALSE)),"")</f>
        <v/>
      </c>
      <c r="AK82" s="127" t="str">
        <f ca="1">IF(AJ82&lt;&gt;"",IF(ISNA(VLOOKUP($N82,OFFSET(選手情報!$A$6:$M$119,AJ82,0),13,FALSE)),"","/"&amp;VLOOKUP($N82,OFFSET(選手情報!$A$6:$M$119,AJ82,0),13,FALSE)),"")</f>
        <v/>
      </c>
      <c r="AL82" s="127" t="str">
        <f ca="1">IF(AJ82&lt;&gt;"",IF(ISNA(VLOOKUP($N82,OFFSET(選手情報!$A$6:$BD$119,AJ82,0),56,FALSE)),"",VLOOKUP($N82,OFFSET(選手情報!$A$6:$BD$119,AJ82,0),56,FALSE)),"")</f>
        <v/>
      </c>
      <c r="AM82" s="127" t="str">
        <f ca="1">IF(AL82&lt;&gt;"",IF(ISNA(VLOOKUP($N82,OFFSET(選手情報!$A$6:$M$119,AL82,0),13,FALSE)),"","/"&amp;VLOOKUP($N82,OFFSET(選手情報!$A$6:$M$119,AL82,0),13,FALSE)),"")</f>
        <v/>
      </c>
      <c r="AN82" s="127" t="str">
        <f ca="1">IF(AL82&lt;&gt;"",IF(ISNA(VLOOKUP($N82,OFFSET(選手情報!$A$6:$BD$119,AL82,0),56,FALSE)),"",VLOOKUP($N82,OFFSET(選手情報!$A$6:$BD$119,AL82,0),56,FALSE)),"")</f>
        <v/>
      </c>
      <c r="AO82" s="127" t="str">
        <f ca="1">IF(AN82&lt;&gt;"",IF(ISNA(VLOOKUP($N82,OFFSET(選手情報!$A$6:$M$119,AN82,0),13,FALSE)),"","/"&amp;VLOOKUP($N82,OFFSET(選手情報!$A$6:$M$119,AN82,0),13,FALSE)),"")</f>
        <v/>
      </c>
      <c r="AP82" s="127" t="str">
        <f ca="1">IF(AN82&lt;&gt;"",IF(ISNA(VLOOKUP($N82,OFFSET(選手情報!$A$6:$BD$119,AN82,0),56,FALSE)),"",VLOOKUP($N82,OFFSET(選手情報!$A$6:$BD$119,AN82,0),56,FALSE)),"")</f>
        <v/>
      </c>
      <c r="AQ82" s="127" t="str">
        <f ca="1">IF(AP82&lt;&gt;"",IF(ISNA(VLOOKUP($N82,OFFSET(選手情報!$A$6:$M$119,AP82,0),13,FALSE)),"","/"&amp;VLOOKUP($N82,OFFSET(選手情報!$A$6:$M$119,AP82,0),13,FALSE)),"")</f>
        <v/>
      </c>
      <c r="AR82" s="127" t="str">
        <f ca="1">IF(AP82&lt;&gt;"",IF(ISNA(VLOOKUP($N82,OFFSET(選手情報!$A$6:$BD$119,AP82,0),56,FALSE)),"",VLOOKUP($N82,OFFSET(選手情報!$A$6:$BD$119,AP82,0),56,FALSE)),"")</f>
        <v/>
      </c>
      <c r="AS82" s="127" t="str">
        <f ca="1">IF(AR82&lt;&gt;"",IF(ISNA(VLOOKUP($N82,OFFSET(選手情報!$A$6:$M$119,AR82,0),13,FALSE)),"","/"&amp;VLOOKUP($N82,OFFSET(選手情報!$A$6:$M$119,AR82,0),13,FALSE)),"")</f>
        <v/>
      </c>
      <c r="AT82" s="127" t="str">
        <f ca="1">IF(AR82&lt;&gt;"",IF(ISNA(VLOOKUP($N82,OFFSET(選手情報!$A$6:$BD$119,AR82,0),56,FALSE)),"",VLOOKUP($N82,OFFSET(選手情報!$A$6:$BD$119,AR82,0),56,FALSE)),"")</f>
        <v/>
      </c>
      <c r="AU82" s="127" t="str">
        <f ca="1">IF(AT82&lt;&gt;"",IF(ISNA(VLOOKUP($N82,OFFSET(選手情報!$A$6:$M$119,AT82,0),13,FALSE)),"","/"&amp;VLOOKUP($N82,OFFSET(選手情報!$A$6:$M$119,AT82,0),13,FALSE)),"")</f>
        <v/>
      </c>
      <c r="AV82" s="127" t="str">
        <f ca="1">IF(AT82&lt;&gt;"",IF(ISNA(VLOOKUP($N82,OFFSET(選手情報!$A$6:$BD$119,AT82,0),56,FALSE)),"",VLOOKUP($N82,OFFSET(選手情報!$A$6:$BD$119,AT82,0),56,FALSE)),"")</f>
        <v/>
      </c>
      <c r="AW82" s="127" t="str">
        <f ca="1">IF(AV82&lt;&gt;"",IF(ISNA(VLOOKUP($N82,OFFSET(選手情報!$A$6:$M$119,AV82,0),13,FALSE)),"","/"&amp;VLOOKUP($N82,OFFSET(選手情報!$A$6:$M$119,AV82,0),13,FALSE)),"")</f>
        <v/>
      </c>
      <c r="AX82" s="127" t="str">
        <f ca="1">IF(AV82&lt;&gt;"",IF(ISNA(VLOOKUP($N82,OFFSET(選手情報!$A$6:$BD$119,AV82,0),56,FALSE)),"",VLOOKUP($N82,OFFSET(選手情報!$A$6:$BD$119,AV82,0),56,FALSE)),"")</f>
        <v/>
      </c>
      <c r="AY82" s="127" t="str">
        <f ca="1">IF(AX82&lt;&gt;"",IF(ISNA(VLOOKUP($N82,OFFSET(選手情報!$A$6:$M$119,AX82,0),13,FALSE)),"","/"&amp;VLOOKUP($N82,OFFSET(選手情報!$A$6:$M$119,AX82,0),13,FALSE)),"")</f>
        <v/>
      </c>
      <c r="AZ82" s="127" t="str">
        <f ca="1">IF(AX82&lt;&gt;"",IF(ISNA(VLOOKUP($N82,OFFSET(選手情報!$A$6:$BD$119,AX82,0),56,FALSE)),"",VLOOKUP($N82,OFFSET(選手情報!$A$6:$BD$119,AX82,0),56,FALSE)),"")</f>
        <v/>
      </c>
      <c r="BA82" s="127" t="str">
        <f ca="1">IF(AZ82&lt;&gt;"",IF(ISNA(VLOOKUP($N82,OFFSET(選手情報!$A$6:$M$119,AZ82,0),13,FALSE)),"","/"&amp;VLOOKUP($N82,OFFSET(選手情報!$A$6:$M$119,AZ82,0),13,FALSE)),"")</f>
        <v/>
      </c>
      <c r="BB82" s="127" t="str">
        <f ca="1">IF(AZ82&lt;&gt;"",IF(ISNA(VLOOKUP($N82,OFFSET(選手情報!$A$6:$BD$119,AZ82,0),56,FALSE)),"",VLOOKUP($N82,OFFSET(選手情報!$A$6:$BD$119,AZ82,0),56,FALSE)),"")</f>
        <v/>
      </c>
      <c r="BC82" s="127" t="str">
        <f ca="1">IF(BB82&lt;&gt;"",IF(ISNA(VLOOKUP($N82,OFFSET(選手情報!$A$6:$M$119,BB82,0),13,FALSE)),"","/"&amp;VLOOKUP($N82,OFFSET(選手情報!$A$6:$M$119,BB82,0),13,FALSE)),"")</f>
        <v/>
      </c>
      <c r="BD82" s="127" t="str">
        <f ca="1">IF(BB82&lt;&gt;"",IF(ISNA(VLOOKUP($N82,OFFSET(選手情報!$A$6:$BD$119,BB82,0),56,FALSE)),"",VLOOKUP($N82,OFFSET(選手情報!$A$6:$BD$119,BB82,0),56,FALSE)),"")</f>
        <v/>
      </c>
      <c r="BE82" s="127" t="str">
        <f ca="1">IF(BD82&lt;&gt;"",IF(ISNA(VLOOKUP($N82,OFFSET(選手情報!$A$6:$M$119,BD82,0),13,FALSE)),"","/"&amp;VLOOKUP($N82,OFFSET(選手情報!$A$6:$M$119,BD82,0),13,FALSE)),"")</f>
        <v/>
      </c>
      <c r="BF82" s="127" t="str">
        <f ca="1">IF(BD82&lt;&gt;"",IF(ISNA(VLOOKUP($N82,OFFSET(選手情報!$A$6:$BD$119,BD82,0),56,FALSE)),"",VLOOKUP($N82,OFFSET(選手情報!$A$6:$BD$119,BD82,0),56,FALSE)),"")</f>
        <v/>
      </c>
      <c r="BG82" s="127" t="str">
        <f ca="1">IF(BF82&lt;&gt;"",IF(ISNA(VLOOKUP($N82,OFFSET(選手情報!$A$6:$M$119,BF82,0),13,FALSE)),"","/"&amp;VLOOKUP($N82,OFFSET(選手情報!$A$6:$M$119,BF82,0),13,FALSE)),"")</f>
        <v/>
      </c>
      <c r="BH82" s="127" t="str">
        <f ca="1">IF(BF82&lt;&gt;"",IF(ISNA(VLOOKUP($N82,OFFSET(選手情報!$A$6:$BD$119,BF82,0),56,FALSE)),"",VLOOKUP($N82,OFFSET(選手情報!$A$6:$BD$119,BF82,0),56,FALSE)),"")</f>
        <v/>
      </c>
      <c r="BI82" s="127" t="str">
        <f ca="1">IF(BH82&lt;&gt;"",IF(ISNA(VLOOKUP($N82,OFFSET(選手情報!$A$6:$M$119,BH82,0),13,FALSE)),"","/"&amp;VLOOKUP($N82,OFFSET(選手情報!$A$6:$M$119,BH82,0),13,FALSE)),"")</f>
        <v/>
      </c>
    </row>
    <row r="83" spans="1:61" s="127" customFormat="1" ht="12.6" customHeight="1">
      <c r="A83" s="128" t="str">
        <f>IF(ISNA(VLOOKUP($C$2&amp;N83,選手データ!A:H,3,FALSE)),"",IF(M83&lt;&gt;M82,VLOOKUP($C$2&amp;N83,選手データ!A:H,3,FALSE),""))</f>
        <v/>
      </c>
      <c r="B83" s="129" t="str">
        <f>IF(A83&lt;&gt;"",VLOOKUP($C$2&amp;N83,選手データ!A:H,4,FALSE),"")</f>
        <v/>
      </c>
      <c r="C83" s="129" t="str">
        <f>IF(A83&lt;&gt;"",VLOOKUP($C$2&amp;N83,選手データ!A:H,5,FALSE),"")</f>
        <v/>
      </c>
      <c r="D83" s="129" t="str">
        <f>IF(A83&lt;&gt;"",VLOOKUP($C$2&amp;N83,選手データ!A:H,6,FALSE),"")</f>
        <v/>
      </c>
      <c r="E83" s="129" t="str">
        <f>IF(A83&lt;&gt;"",VLOOKUP($C$2&amp;N83,選手データ!A:H,7,FALSE),"")</f>
        <v/>
      </c>
      <c r="F83" s="130" t="str">
        <f>IF(A83&lt;&gt;"",VLOOKUP($C$2&amp;N83,選手データ!A:H,8,FALSE),"")</f>
        <v/>
      </c>
      <c r="G83" s="130" t="str">
        <f>IF(F83&lt;&gt;"",IF(DATEDIF(F83,設定!$B$12,"Y")&lt;20,"〇",""),"")</f>
        <v/>
      </c>
      <c r="H83" s="131" t="str">
        <f t="shared" ca="1" si="0"/>
        <v/>
      </c>
      <c r="I83" s="132" t="str">
        <f t="shared" ca="1" si="1"/>
        <v/>
      </c>
      <c r="J83" s="131" t="str">
        <f t="shared" ca="1" si="2"/>
        <v/>
      </c>
      <c r="K83" s="130" t="str">
        <f>IF(A83&lt;&gt;"",IF(COUNTIF(リレーチーム情報!$B$5:$B$10,A83&amp;E83)=1,"〇",""),"")</f>
        <v/>
      </c>
      <c r="L83" s="133" t="str">
        <f>IF(A83&lt;&gt;"",IF(COUNTIF(リレーチーム情報!$B$11:$B$16,A83&amp;E83)=1,"〇",""),"")</f>
        <v/>
      </c>
      <c r="M83" s="127">
        <f>IF(学校情報!$A$4&lt;&gt;"",0,IF(S82=0,MAX($M$37:M82)+1,M82))</f>
        <v>0</v>
      </c>
      <c r="N83" s="127" t="str">
        <f>IF(M83&lt;&gt;0,VLOOKUP(M83,選手情報!BF:BG,2,FALSE),"")</f>
        <v/>
      </c>
      <c r="O83" s="127" t="str">
        <f ca="1">IF(M83&lt;&gt;0,VLOOKUP(N83,OFFSET(選手情報!$A$6:$W$119,IF(M83&lt;&gt;M82,0,R82),0),13,FALSE),"")</f>
        <v/>
      </c>
      <c r="P83" s="127" t="str">
        <f ca="1">IF(M83&lt;&gt;0,VLOOKUP(N83,OFFSET(選手情報!$A$6:$W$119,IF(M83&lt;&gt;M82,0,R82),0),16,FALSE),"")</f>
        <v/>
      </c>
      <c r="Q83" s="127" t="str">
        <f ca="1">IF(M83&lt;&gt;0,VLOOKUP(N83,OFFSET(選手情報!$A$6:$W$119,IF(M83&lt;&gt;M82,0,R82),0),21,FALSE),"")</f>
        <v/>
      </c>
      <c r="R83" s="127">
        <f ca="1">IF(M83&lt;&gt;0,VLOOKUP(N83,OFFSET(選手情報!$A$6:$BD$119,IF(M83&lt;&gt;M82,0,R82),0),56,FALSE),0)</f>
        <v>0</v>
      </c>
      <c r="S83" s="127">
        <f ca="1">IF(M83&lt;&gt;0,IF(ISNA(R83),0,COUNTIF(OFFSET(選手情報!$A$6:$A$119,R83,0),N83)),0)</f>
        <v>0</v>
      </c>
      <c r="U83" s="127">
        <f t="shared" si="3"/>
        <v>0</v>
      </c>
      <c r="V83" s="127">
        <f t="shared" ca="1" si="4"/>
        <v>1</v>
      </c>
      <c r="W83" s="127">
        <f t="shared" ca="1" si="5"/>
        <v>0</v>
      </c>
      <c r="X83" s="127" t="str">
        <f t="shared" ca="1" si="6"/>
        <v/>
      </c>
      <c r="Y83" s="127" t="str">
        <f>IF($A83&lt;&gt;"",IF(ISNA(VLOOKUP($N83,選手情報!$A$6:$M$119,13,FALSE)),"","/"&amp;VLOOKUP($N83,選手情報!$A$6:$M$119,13,FALSE)),"")</f>
        <v/>
      </c>
      <c r="Z83" s="127" t="str">
        <f ca="1">IF(Y83&lt;&gt;"",IF(ISNA(VLOOKUP($N83,OFFSET(選手情報!$A$6:$BD$119,0,0),56,FALSE)),"",VLOOKUP($N83,OFFSET(選手情報!$A$6:$BD$119,0,0),56,FALSE)),"")</f>
        <v/>
      </c>
      <c r="AA83" s="127" t="str">
        <f ca="1">IF(Z83&lt;&gt;"",IF(ISNA(VLOOKUP($N83,OFFSET(選手情報!$A$6:$M$119,Z83,0),13,FALSE)),"","/"&amp;VLOOKUP($N83,OFFSET(選手情報!$A$6:$M$119,Z83,0),13,FALSE)),"")</f>
        <v/>
      </c>
      <c r="AB83" s="127" t="str">
        <f ca="1">IF(Z83&lt;&gt;"",IF(ISNA(VLOOKUP($N83,OFFSET(選手情報!$A$6:$BD$119,Z83,0),56,FALSE)),"",VLOOKUP($N83,OFFSET(選手情報!$A$6:$BD$119,Z83,0),56,FALSE)),"")</f>
        <v/>
      </c>
      <c r="AC83" s="127" t="str">
        <f ca="1">IF(AB83&lt;&gt;"",IF(ISNA(VLOOKUP($N83,OFFSET(選手情報!$A$6:$M$119,AB83,0),13,FALSE)),"","/"&amp;VLOOKUP($N83,OFFSET(選手情報!$A$6:$M$119,AB83,0),13,FALSE)),"")</f>
        <v/>
      </c>
      <c r="AD83" s="127" t="str">
        <f ca="1">IF(AB83&lt;&gt;"",IF(ISNA(VLOOKUP($N83,OFFSET(選手情報!$A$6:$BD$119,AB83,0),56,FALSE)),"",VLOOKUP($N83,OFFSET(選手情報!$A$6:$BD$119,AB83,0),56,FALSE)),"")</f>
        <v/>
      </c>
      <c r="AE83" s="127" t="str">
        <f ca="1">IF(AD83&lt;&gt;"",IF(ISNA(VLOOKUP($N83,OFFSET(選手情報!$A$6:$M$119,AD83,0),13,FALSE)),"","/"&amp;VLOOKUP($N83,OFFSET(選手情報!$A$6:$M$119,AD83,0),13,FALSE)),"")</f>
        <v/>
      </c>
      <c r="AF83" s="127" t="str">
        <f ca="1">IF(AD83&lt;&gt;"",IF(ISNA(VLOOKUP($N83,OFFSET(選手情報!$A$6:$BD$119,AD83,0),56,FALSE)),"",VLOOKUP($N83,OFFSET(選手情報!$A$6:$BD$119,AD83,0),56,FALSE)),"")</f>
        <v/>
      </c>
      <c r="AG83" s="127" t="str">
        <f ca="1">IF(AF83&lt;&gt;"",IF(ISNA(VLOOKUP($N83,OFFSET(選手情報!$A$6:$M$119,AF83,0),13,FALSE)),"","/"&amp;VLOOKUP($N83,OFFSET(選手情報!$A$6:$M$119,AF83,0),13,FALSE)),"")</f>
        <v/>
      </c>
      <c r="AH83" s="127" t="str">
        <f ca="1">IF(AF83&lt;&gt;"",IF(ISNA(VLOOKUP($N83,OFFSET(選手情報!$A$6:$BD$119,AF83,0),56,FALSE)),"",VLOOKUP($N83,OFFSET(選手情報!$A$6:$BD$119,AF83,0),56,FALSE)),"")</f>
        <v/>
      </c>
      <c r="AI83" s="127" t="str">
        <f ca="1">IF(AH83&lt;&gt;"",IF(ISNA(VLOOKUP($N83,OFFSET(選手情報!$A$6:$M$119,AH83,0),13,FALSE)),"","/"&amp;VLOOKUP($N83,OFFSET(選手情報!$A$6:$M$119,AH83,0),13,FALSE)),"")</f>
        <v/>
      </c>
      <c r="AJ83" s="127" t="str">
        <f ca="1">IF(AH83&lt;&gt;"",IF(ISNA(VLOOKUP($N83,OFFSET(選手情報!$A$6:$BD$119,AH83,0),56,FALSE)),"",VLOOKUP($N83,OFFSET(選手情報!$A$6:$BD$119,AH83,0),56,FALSE)),"")</f>
        <v/>
      </c>
      <c r="AK83" s="127" t="str">
        <f ca="1">IF(AJ83&lt;&gt;"",IF(ISNA(VLOOKUP($N83,OFFSET(選手情報!$A$6:$M$119,AJ83,0),13,FALSE)),"","/"&amp;VLOOKUP($N83,OFFSET(選手情報!$A$6:$M$119,AJ83,0),13,FALSE)),"")</f>
        <v/>
      </c>
      <c r="AL83" s="127" t="str">
        <f ca="1">IF(AJ83&lt;&gt;"",IF(ISNA(VLOOKUP($N83,OFFSET(選手情報!$A$6:$BD$119,AJ83,0),56,FALSE)),"",VLOOKUP($N83,OFFSET(選手情報!$A$6:$BD$119,AJ83,0),56,FALSE)),"")</f>
        <v/>
      </c>
      <c r="AM83" s="127" t="str">
        <f ca="1">IF(AL83&lt;&gt;"",IF(ISNA(VLOOKUP($N83,OFFSET(選手情報!$A$6:$M$119,AL83,0),13,FALSE)),"","/"&amp;VLOOKUP($N83,OFFSET(選手情報!$A$6:$M$119,AL83,0),13,FALSE)),"")</f>
        <v/>
      </c>
      <c r="AN83" s="127" t="str">
        <f ca="1">IF(AL83&lt;&gt;"",IF(ISNA(VLOOKUP($N83,OFFSET(選手情報!$A$6:$BD$119,AL83,0),56,FALSE)),"",VLOOKUP($N83,OFFSET(選手情報!$A$6:$BD$119,AL83,0),56,FALSE)),"")</f>
        <v/>
      </c>
      <c r="AO83" s="127" t="str">
        <f ca="1">IF(AN83&lt;&gt;"",IF(ISNA(VLOOKUP($N83,OFFSET(選手情報!$A$6:$M$119,AN83,0),13,FALSE)),"","/"&amp;VLOOKUP($N83,OFFSET(選手情報!$A$6:$M$119,AN83,0),13,FALSE)),"")</f>
        <v/>
      </c>
      <c r="AP83" s="127" t="str">
        <f ca="1">IF(AN83&lt;&gt;"",IF(ISNA(VLOOKUP($N83,OFFSET(選手情報!$A$6:$BD$119,AN83,0),56,FALSE)),"",VLOOKUP($N83,OFFSET(選手情報!$A$6:$BD$119,AN83,0),56,FALSE)),"")</f>
        <v/>
      </c>
      <c r="AQ83" s="127" t="str">
        <f ca="1">IF(AP83&lt;&gt;"",IF(ISNA(VLOOKUP($N83,OFFSET(選手情報!$A$6:$M$119,AP83,0),13,FALSE)),"","/"&amp;VLOOKUP($N83,OFFSET(選手情報!$A$6:$M$119,AP83,0),13,FALSE)),"")</f>
        <v/>
      </c>
      <c r="AR83" s="127" t="str">
        <f ca="1">IF(AP83&lt;&gt;"",IF(ISNA(VLOOKUP($N83,OFFSET(選手情報!$A$6:$BD$119,AP83,0),56,FALSE)),"",VLOOKUP($N83,OFFSET(選手情報!$A$6:$BD$119,AP83,0),56,FALSE)),"")</f>
        <v/>
      </c>
      <c r="AS83" s="127" t="str">
        <f ca="1">IF(AR83&lt;&gt;"",IF(ISNA(VLOOKUP($N83,OFFSET(選手情報!$A$6:$M$119,AR83,0),13,FALSE)),"","/"&amp;VLOOKUP($N83,OFFSET(選手情報!$A$6:$M$119,AR83,0),13,FALSE)),"")</f>
        <v/>
      </c>
      <c r="AT83" s="127" t="str">
        <f ca="1">IF(AR83&lt;&gt;"",IF(ISNA(VLOOKUP($N83,OFFSET(選手情報!$A$6:$BD$119,AR83,0),56,FALSE)),"",VLOOKUP($N83,OFFSET(選手情報!$A$6:$BD$119,AR83,0),56,FALSE)),"")</f>
        <v/>
      </c>
      <c r="AU83" s="127" t="str">
        <f ca="1">IF(AT83&lt;&gt;"",IF(ISNA(VLOOKUP($N83,OFFSET(選手情報!$A$6:$M$119,AT83,0),13,FALSE)),"","/"&amp;VLOOKUP($N83,OFFSET(選手情報!$A$6:$M$119,AT83,0),13,FALSE)),"")</f>
        <v/>
      </c>
      <c r="AV83" s="127" t="str">
        <f ca="1">IF(AT83&lt;&gt;"",IF(ISNA(VLOOKUP($N83,OFFSET(選手情報!$A$6:$BD$119,AT83,0),56,FALSE)),"",VLOOKUP($N83,OFFSET(選手情報!$A$6:$BD$119,AT83,0),56,FALSE)),"")</f>
        <v/>
      </c>
      <c r="AW83" s="127" t="str">
        <f ca="1">IF(AV83&lt;&gt;"",IF(ISNA(VLOOKUP($N83,OFFSET(選手情報!$A$6:$M$119,AV83,0),13,FALSE)),"","/"&amp;VLOOKUP($N83,OFFSET(選手情報!$A$6:$M$119,AV83,0),13,FALSE)),"")</f>
        <v/>
      </c>
      <c r="AX83" s="127" t="str">
        <f ca="1">IF(AV83&lt;&gt;"",IF(ISNA(VLOOKUP($N83,OFFSET(選手情報!$A$6:$BD$119,AV83,0),56,FALSE)),"",VLOOKUP($N83,OFFSET(選手情報!$A$6:$BD$119,AV83,0),56,FALSE)),"")</f>
        <v/>
      </c>
      <c r="AY83" s="127" t="str">
        <f ca="1">IF(AX83&lt;&gt;"",IF(ISNA(VLOOKUP($N83,OFFSET(選手情報!$A$6:$M$119,AX83,0),13,FALSE)),"","/"&amp;VLOOKUP($N83,OFFSET(選手情報!$A$6:$M$119,AX83,0),13,FALSE)),"")</f>
        <v/>
      </c>
      <c r="AZ83" s="127" t="str">
        <f ca="1">IF(AX83&lt;&gt;"",IF(ISNA(VLOOKUP($N83,OFFSET(選手情報!$A$6:$BD$119,AX83,0),56,FALSE)),"",VLOOKUP($N83,OFFSET(選手情報!$A$6:$BD$119,AX83,0),56,FALSE)),"")</f>
        <v/>
      </c>
      <c r="BA83" s="127" t="str">
        <f ca="1">IF(AZ83&lt;&gt;"",IF(ISNA(VLOOKUP($N83,OFFSET(選手情報!$A$6:$M$119,AZ83,0),13,FALSE)),"","/"&amp;VLOOKUP($N83,OFFSET(選手情報!$A$6:$M$119,AZ83,0),13,FALSE)),"")</f>
        <v/>
      </c>
      <c r="BB83" s="127" t="str">
        <f ca="1">IF(AZ83&lt;&gt;"",IF(ISNA(VLOOKUP($N83,OFFSET(選手情報!$A$6:$BD$119,AZ83,0),56,FALSE)),"",VLOOKUP($N83,OFFSET(選手情報!$A$6:$BD$119,AZ83,0),56,FALSE)),"")</f>
        <v/>
      </c>
      <c r="BC83" s="127" t="str">
        <f ca="1">IF(BB83&lt;&gt;"",IF(ISNA(VLOOKUP($N83,OFFSET(選手情報!$A$6:$M$119,BB83,0),13,FALSE)),"","/"&amp;VLOOKUP($N83,OFFSET(選手情報!$A$6:$M$119,BB83,0),13,FALSE)),"")</f>
        <v/>
      </c>
      <c r="BD83" s="127" t="str">
        <f ca="1">IF(BB83&lt;&gt;"",IF(ISNA(VLOOKUP($N83,OFFSET(選手情報!$A$6:$BD$119,BB83,0),56,FALSE)),"",VLOOKUP($N83,OFFSET(選手情報!$A$6:$BD$119,BB83,0),56,FALSE)),"")</f>
        <v/>
      </c>
      <c r="BE83" s="127" t="str">
        <f ca="1">IF(BD83&lt;&gt;"",IF(ISNA(VLOOKUP($N83,OFFSET(選手情報!$A$6:$M$119,BD83,0),13,FALSE)),"","/"&amp;VLOOKUP($N83,OFFSET(選手情報!$A$6:$M$119,BD83,0),13,FALSE)),"")</f>
        <v/>
      </c>
      <c r="BF83" s="127" t="str">
        <f ca="1">IF(BD83&lt;&gt;"",IF(ISNA(VLOOKUP($N83,OFFSET(選手情報!$A$6:$BD$119,BD83,0),56,FALSE)),"",VLOOKUP($N83,OFFSET(選手情報!$A$6:$BD$119,BD83,0),56,FALSE)),"")</f>
        <v/>
      </c>
      <c r="BG83" s="127" t="str">
        <f ca="1">IF(BF83&lt;&gt;"",IF(ISNA(VLOOKUP($N83,OFFSET(選手情報!$A$6:$M$119,BF83,0),13,FALSE)),"","/"&amp;VLOOKUP($N83,OFFSET(選手情報!$A$6:$M$119,BF83,0),13,FALSE)),"")</f>
        <v/>
      </c>
      <c r="BH83" s="127" t="str">
        <f ca="1">IF(BF83&lt;&gt;"",IF(ISNA(VLOOKUP($N83,OFFSET(選手情報!$A$6:$BD$119,BF83,0),56,FALSE)),"",VLOOKUP($N83,OFFSET(選手情報!$A$6:$BD$119,BF83,0),56,FALSE)),"")</f>
        <v/>
      </c>
      <c r="BI83" s="127" t="str">
        <f ca="1">IF(BH83&lt;&gt;"",IF(ISNA(VLOOKUP($N83,OFFSET(選手情報!$A$6:$M$119,BH83,0),13,FALSE)),"","/"&amp;VLOOKUP($N83,OFFSET(選手情報!$A$6:$M$119,BH83,0),13,FALSE)),"")</f>
        <v/>
      </c>
    </row>
    <row r="84" spans="1:61" s="127" customFormat="1" ht="12.6" customHeight="1">
      <c r="A84" s="128" t="str">
        <f>IF(ISNA(VLOOKUP($C$2&amp;N84,選手データ!A:H,3,FALSE)),"",IF(M84&lt;&gt;M83,VLOOKUP($C$2&amp;N84,選手データ!A:H,3,FALSE),""))</f>
        <v/>
      </c>
      <c r="B84" s="129" t="str">
        <f>IF(A84&lt;&gt;"",VLOOKUP($C$2&amp;N84,選手データ!A:H,4,FALSE),"")</f>
        <v/>
      </c>
      <c r="C84" s="129" t="str">
        <f>IF(A84&lt;&gt;"",VLOOKUP($C$2&amp;N84,選手データ!A:H,5,FALSE),"")</f>
        <v/>
      </c>
      <c r="D84" s="129" t="str">
        <f>IF(A84&lt;&gt;"",VLOOKUP($C$2&amp;N84,選手データ!A:H,6,FALSE),"")</f>
        <v/>
      </c>
      <c r="E84" s="129" t="str">
        <f>IF(A84&lt;&gt;"",VLOOKUP($C$2&amp;N84,選手データ!A:H,7,FALSE),"")</f>
        <v/>
      </c>
      <c r="F84" s="130" t="str">
        <f>IF(A84&lt;&gt;"",VLOOKUP($C$2&amp;N84,選手データ!A:H,8,FALSE),"")</f>
        <v/>
      </c>
      <c r="G84" s="130" t="str">
        <f>IF(F84&lt;&gt;"",IF(DATEDIF(F84,設定!$B$12,"Y")&lt;20,"〇",""),"")</f>
        <v/>
      </c>
      <c r="H84" s="131" t="str">
        <f t="shared" ca="1" si="0"/>
        <v/>
      </c>
      <c r="I84" s="132" t="str">
        <f t="shared" ca="1" si="1"/>
        <v/>
      </c>
      <c r="J84" s="131" t="str">
        <f t="shared" ca="1" si="2"/>
        <v/>
      </c>
      <c r="K84" s="130" t="str">
        <f>IF(A84&lt;&gt;"",IF(COUNTIF(リレーチーム情報!$B$5:$B$10,A84&amp;E84)=1,"〇",""),"")</f>
        <v/>
      </c>
      <c r="L84" s="133" t="str">
        <f>IF(A84&lt;&gt;"",IF(COUNTIF(リレーチーム情報!$B$11:$B$16,A84&amp;E84)=1,"〇",""),"")</f>
        <v/>
      </c>
      <c r="M84" s="127">
        <f>IF(学校情報!$A$4&lt;&gt;"",0,IF(S83=0,MAX($M$37:M83)+1,M83))</f>
        <v>0</v>
      </c>
      <c r="N84" s="127" t="str">
        <f>IF(M84&lt;&gt;0,VLOOKUP(M84,選手情報!BF:BG,2,FALSE),"")</f>
        <v/>
      </c>
      <c r="O84" s="127" t="str">
        <f ca="1">IF(M84&lt;&gt;0,VLOOKUP(N84,OFFSET(選手情報!$A$6:$W$119,IF(M84&lt;&gt;M83,0,R83),0),13,FALSE),"")</f>
        <v/>
      </c>
      <c r="P84" s="127" t="str">
        <f ca="1">IF(M84&lt;&gt;0,VLOOKUP(N84,OFFSET(選手情報!$A$6:$W$119,IF(M84&lt;&gt;M83,0,R83),0),16,FALSE),"")</f>
        <v/>
      </c>
      <c r="Q84" s="127" t="str">
        <f ca="1">IF(M84&lt;&gt;0,VLOOKUP(N84,OFFSET(選手情報!$A$6:$W$119,IF(M84&lt;&gt;M83,0,R83),0),21,FALSE),"")</f>
        <v/>
      </c>
      <c r="R84" s="127">
        <f ca="1">IF(M84&lt;&gt;0,VLOOKUP(N84,OFFSET(選手情報!$A$6:$BD$119,IF(M84&lt;&gt;M83,0,R83),0),56,FALSE),0)</f>
        <v>0</v>
      </c>
      <c r="S84" s="127">
        <f ca="1">IF(M84&lt;&gt;0,IF(ISNA(R84),0,COUNTIF(OFFSET(選手情報!$A$6:$A$119,R84,0),N84)),0)</f>
        <v>0</v>
      </c>
      <c r="U84" s="127">
        <f t="shared" si="3"/>
        <v>0</v>
      </c>
      <c r="V84" s="127">
        <f t="shared" ca="1" si="4"/>
        <v>1</v>
      </c>
      <c r="W84" s="127">
        <f t="shared" ca="1" si="5"/>
        <v>0</v>
      </c>
      <c r="X84" s="127" t="str">
        <f t="shared" ca="1" si="6"/>
        <v/>
      </c>
      <c r="Y84" s="127" t="str">
        <f>IF($A84&lt;&gt;"",IF(ISNA(VLOOKUP($N84,選手情報!$A$6:$M$119,13,FALSE)),"","/"&amp;VLOOKUP($N84,選手情報!$A$6:$M$119,13,FALSE)),"")</f>
        <v/>
      </c>
      <c r="Z84" s="127" t="str">
        <f ca="1">IF(Y84&lt;&gt;"",IF(ISNA(VLOOKUP($N84,OFFSET(選手情報!$A$6:$BD$119,0,0),56,FALSE)),"",VLOOKUP($N84,OFFSET(選手情報!$A$6:$BD$119,0,0),56,FALSE)),"")</f>
        <v/>
      </c>
      <c r="AA84" s="127" t="str">
        <f ca="1">IF(Z84&lt;&gt;"",IF(ISNA(VLOOKUP($N84,OFFSET(選手情報!$A$6:$M$119,Z84,0),13,FALSE)),"","/"&amp;VLOOKUP($N84,OFFSET(選手情報!$A$6:$M$119,Z84,0),13,FALSE)),"")</f>
        <v/>
      </c>
      <c r="AB84" s="127" t="str">
        <f ca="1">IF(Z84&lt;&gt;"",IF(ISNA(VLOOKUP($N84,OFFSET(選手情報!$A$6:$BD$119,Z84,0),56,FALSE)),"",VLOOKUP($N84,OFFSET(選手情報!$A$6:$BD$119,Z84,0),56,FALSE)),"")</f>
        <v/>
      </c>
      <c r="AC84" s="127" t="str">
        <f ca="1">IF(AB84&lt;&gt;"",IF(ISNA(VLOOKUP($N84,OFFSET(選手情報!$A$6:$M$119,AB84,0),13,FALSE)),"","/"&amp;VLOOKUP($N84,OFFSET(選手情報!$A$6:$M$119,AB84,0),13,FALSE)),"")</f>
        <v/>
      </c>
      <c r="AD84" s="127" t="str">
        <f ca="1">IF(AB84&lt;&gt;"",IF(ISNA(VLOOKUP($N84,OFFSET(選手情報!$A$6:$BD$119,AB84,0),56,FALSE)),"",VLOOKUP($N84,OFFSET(選手情報!$A$6:$BD$119,AB84,0),56,FALSE)),"")</f>
        <v/>
      </c>
      <c r="AE84" s="127" t="str">
        <f ca="1">IF(AD84&lt;&gt;"",IF(ISNA(VLOOKUP($N84,OFFSET(選手情報!$A$6:$M$119,AD84,0),13,FALSE)),"","/"&amp;VLOOKUP($N84,OFFSET(選手情報!$A$6:$M$119,AD84,0),13,FALSE)),"")</f>
        <v/>
      </c>
      <c r="AF84" s="127" t="str">
        <f ca="1">IF(AD84&lt;&gt;"",IF(ISNA(VLOOKUP($N84,OFFSET(選手情報!$A$6:$BD$119,AD84,0),56,FALSE)),"",VLOOKUP($N84,OFFSET(選手情報!$A$6:$BD$119,AD84,0),56,FALSE)),"")</f>
        <v/>
      </c>
      <c r="AG84" s="127" t="str">
        <f ca="1">IF(AF84&lt;&gt;"",IF(ISNA(VLOOKUP($N84,OFFSET(選手情報!$A$6:$M$119,AF84,0),13,FALSE)),"","/"&amp;VLOOKUP($N84,OFFSET(選手情報!$A$6:$M$119,AF84,0),13,FALSE)),"")</f>
        <v/>
      </c>
      <c r="AH84" s="127" t="str">
        <f ca="1">IF(AF84&lt;&gt;"",IF(ISNA(VLOOKUP($N84,OFFSET(選手情報!$A$6:$BD$119,AF84,0),56,FALSE)),"",VLOOKUP($N84,OFFSET(選手情報!$A$6:$BD$119,AF84,0),56,FALSE)),"")</f>
        <v/>
      </c>
      <c r="AI84" s="127" t="str">
        <f ca="1">IF(AH84&lt;&gt;"",IF(ISNA(VLOOKUP($N84,OFFSET(選手情報!$A$6:$M$119,AH84,0),13,FALSE)),"","/"&amp;VLOOKUP($N84,OFFSET(選手情報!$A$6:$M$119,AH84,0),13,FALSE)),"")</f>
        <v/>
      </c>
      <c r="AJ84" s="127" t="str">
        <f ca="1">IF(AH84&lt;&gt;"",IF(ISNA(VLOOKUP($N84,OFFSET(選手情報!$A$6:$BD$119,AH84,0),56,FALSE)),"",VLOOKUP($N84,OFFSET(選手情報!$A$6:$BD$119,AH84,0),56,FALSE)),"")</f>
        <v/>
      </c>
      <c r="AK84" s="127" t="str">
        <f ca="1">IF(AJ84&lt;&gt;"",IF(ISNA(VLOOKUP($N84,OFFSET(選手情報!$A$6:$M$119,AJ84,0),13,FALSE)),"","/"&amp;VLOOKUP($N84,OFFSET(選手情報!$A$6:$M$119,AJ84,0),13,FALSE)),"")</f>
        <v/>
      </c>
      <c r="AL84" s="127" t="str">
        <f ca="1">IF(AJ84&lt;&gt;"",IF(ISNA(VLOOKUP($N84,OFFSET(選手情報!$A$6:$BD$119,AJ84,0),56,FALSE)),"",VLOOKUP($N84,OFFSET(選手情報!$A$6:$BD$119,AJ84,0),56,FALSE)),"")</f>
        <v/>
      </c>
      <c r="AM84" s="127" t="str">
        <f ca="1">IF(AL84&lt;&gt;"",IF(ISNA(VLOOKUP($N84,OFFSET(選手情報!$A$6:$M$119,AL84,0),13,FALSE)),"","/"&amp;VLOOKUP($N84,OFFSET(選手情報!$A$6:$M$119,AL84,0),13,FALSE)),"")</f>
        <v/>
      </c>
      <c r="AN84" s="127" t="str">
        <f ca="1">IF(AL84&lt;&gt;"",IF(ISNA(VLOOKUP($N84,OFFSET(選手情報!$A$6:$BD$119,AL84,0),56,FALSE)),"",VLOOKUP($N84,OFFSET(選手情報!$A$6:$BD$119,AL84,0),56,FALSE)),"")</f>
        <v/>
      </c>
      <c r="AO84" s="127" t="str">
        <f ca="1">IF(AN84&lt;&gt;"",IF(ISNA(VLOOKUP($N84,OFFSET(選手情報!$A$6:$M$119,AN84,0),13,FALSE)),"","/"&amp;VLOOKUP($N84,OFFSET(選手情報!$A$6:$M$119,AN84,0),13,FALSE)),"")</f>
        <v/>
      </c>
      <c r="AP84" s="127" t="str">
        <f ca="1">IF(AN84&lt;&gt;"",IF(ISNA(VLOOKUP($N84,OFFSET(選手情報!$A$6:$BD$119,AN84,0),56,FALSE)),"",VLOOKUP($N84,OFFSET(選手情報!$A$6:$BD$119,AN84,0),56,FALSE)),"")</f>
        <v/>
      </c>
      <c r="AQ84" s="127" t="str">
        <f ca="1">IF(AP84&lt;&gt;"",IF(ISNA(VLOOKUP($N84,OFFSET(選手情報!$A$6:$M$119,AP84,0),13,FALSE)),"","/"&amp;VLOOKUP($N84,OFFSET(選手情報!$A$6:$M$119,AP84,0),13,FALSE)),"")</f>
        <v/>
      </c>
      <c r="AR84" s="127" t="str">
        <f ca="1">IF(AP84&lt;&gt;"",IF(ISNA(VLOOKUP($N84,OFFSET(選手情報!$A$6:$BD$119,AP84,0),56,FALSE)),"",VLOOKUP($N84,OFFSET(選手情報!$A$6:$BD$119,AP84,0),56,FALSE)),"")</f>
        <v/>
      </c>
      <c r="AS84" s="127" t="str">
        <f ca="1">IF(AR84&lt;&gt;"",IF(ISNA(VLOOKUP($N84,OFFSET(選手情報!$A$6:$M$119,AR84,0),13,FALSE)),"","/"&amp;VLOOKUP($N84,OFFSET(選手情報!$A$6:$M$119,AR84,0),13,FALSE)),"")</f>
        <v/>
      </c>
      <c r="AT84" s="127" t="str">
        <f ca="1">IF(AR84&lt;&gt;"",IF(ISNA(VLOOKUP($N84,OFFSET(選手情報!$A$6:$BD$119,AR84,0),56,FALSE)),"",VLOOKUP($N84,OFFSET(選手情報!$A$6:$BD$119,AR84,0),56,FALSE)),"")</f>
        <v/>
      </c>
      <c r="AU84" s="127" t="str">
        <f ca="1">IF(AT84&lt;&gt;"",IF(ISNA(VLOOKUP($N84,OFFSET(選手情報!$A$6:$M$119,AT84,0),13,FALSE)),"","/"&amp;VLOOKUP($N84,OFFSET(選手情報!$A$6:$M$119,AT84,0),13,FALSE)),"")</f>
        <v/>
      </c>
      <c r="AV84" s="127" t="str">
        <f ca="1">IF(AT84&lt;&gt;"",IF(ISNA(VLOOKUP($N84,OFFSET(選手情報!$A$6:$BD$119,AT84,0),56,FALSE)),"",VLOOKUP($N84,OFFSET(選手情報!$A$6:$BD$119,AT84,0),56,FALSE)),"")</f>
        <v/>
      </c>
      <c r="AW84" s="127" t="str">
        <f ca="1">IF(AV84&lt;&gt;"",IF(ISNA(VLOOKUP($N84,OFFSET(選手情報!$A$6:$M$119,AV84,0),13,FALSE)),"","/"&amp;VLOOKUP($N84,OFFSET(選手情報!$A$6:$M$119,AV84,0),13,FALSE)),"")</f>
        <v/>
      </c>
      <c r="AX84" s="127" t="str">
        <f ca="1">IF(AV84&lt;&gt;"",IF(ISNA(VLOOKUP($N84,OFFSET(選手情報!$A$6:$BD$119,AV84,0),56,FALSE)),"",VLOOKUP($N84,OFFSET(選手情報!$A$6:$BD$119,AV84,0),56,FALSE)),"")</f>
        <v/>
      </c>
      <c r="AY84" s="127" t="str">
        <f ca="1">IF(AX84&lt;&gt;"",IF(ISNA(VLOOKUP($N84,OFFSET(選手情報!$A$6:$M$119,AX84,0),13,FALSE)),"","/"&amp;VLOOKUP($N84,OFFSET(選手情報!$A$6:$M$119,AX84,0),13,FALSE)),"")</f>
        <v/>
      </c>
      <c r="AZ84" s="127" t="str">
        <f ca="1">IF(AX84&lt;&gt;"",IF(ISNA(VLOOKUP($N84,OFFSET(選手情報!$A$6:$BD$119,AX84,0),56,FALSE)),"",VLOOKUP($N84,OFFSET(選手情報!$A$6:$BD$119,AX84,0),56,FALSE)),"")</f>
        <v/>
      </c>
      <c r="BA84" s="127" t="str">
        <f ca="1">IF(AZ84&lt;&gt;"",IF(ISNA(VLOOKUP($N84,OFFSET(選手情報!$A$6:$M$119,AZ84,0),13,FALSE)),"","/"&amp;VLOOKUP($N84,OFFSET(選手情報!$A$6:$M$119,AZ84,0),13,FALSE)),"")</f>
        <v/>
      </c>
      <c r="BB84" s="127" t="str">
        <f ca="1">IF(AZ84&lt;&gt;"",IF(ISNA(VLOOKUP($N84,OFFSET(選手情報!$A$6:$BD$119,AZ84,0),56,FALSE)),"",VLOOKUP($N84,OFFSET(選手情報!$A$6:$BD$119,AZ84,0),56,FALSE)),"")</f>
        <v/>
      </c>
      <c r="BC84" s="127" t="str">
        <f ca="1">IF(BB84&lt;&gt;"",IF(ISNA(VLOOKUP($N84,OFFSET(選手情報!$A$6:$M$119,BB84,0),13,FALSE)),"","/"&amp;VLOOKUP($N84,OFFSET(選手情報!$A$6:$M$119,BB84,0),13,FALSE)),"")</f>
        <v/>
      </c>
      <c r="BD84" s="127" t="str">
        <f ca="1">IF(BB84&lt;&gt;"",IF(ISNA(VLOOKUP($N84,OFFSET(選手情報!$A$6:$BD$119,BB84,0),56,FALSE)),"",VLOOKUP($N84,OFFSET(選手情報!$A$6:$BD$119,BB84,0),56,FALSE)),"")</f>
        <v/>
      </c>
      <c r="BE84" s="127" t="str">
        <f ca="1">IF(BD84&lt;&gt;"",IF(ISNA(VLOOKUP($N84,OFFSET(選手情報!$A$6:$M$119,BD84,0),13,FALSE)),"","/"&amp;VLOOKUP($N84,OFFSET(選手情報!$A$6:$M$119,BD84,0),13,FALSE)),"")</f>
        <v/>
      </c>
      <c r="BF84" s="127" t="str">
        <f ca="1">IF(BD84&lt;&gt;"",IF(ISNA(VLOOKUP($N84,OFFSET(選手情報!$A$6:$BD$119,BD84,0),56,FALSE)),"",VLOOKUP($N84,OFFSET(選手情報!$A$6:$BD$119,BD84,0),56,FALSE)),"")</f>
        <v/>
      </c>
      <c r="BG84" s="127" t="str">
        <f ca="1">IF(BF84&lt;&gt;"",IF(ISNA(VLOOKUP($N84,OFFSET(選手情報!$A$6:$M$119,BF84,0),13,FALSE)),"","/"&amp;VLOOKUP($N84,OFFSET(選手情報!$A$6:$M$119,BF84,0),13,FALSE)),"")</f>
        <v/>
      </c>
      <c r="BH84" s="127" t="str">
        <f ca="1">IF(BF84&lt;&gt;"",IF(ISNA(VLOOKUP($N84,OFFSET(選手情報!$A$6:$BD$119,BF84,0),56,FALSE)),"",VLOOKUP($N84,OFFSET(選手情報!$A$6:$BD$119,BF84,0),56,FALSE)),"")</f>
        <v/>
      </c>
      <c r="BI84" s="127" t="str">
        <f ca="1">IF(BH84&lt;&gt;"",IF(ISNA(VLOOKUP($N84,OFFSET(選手情報!$A$6:$M$119,BH84,0),13,FALSE)),"","/"&amp;VLOOKUP($N84,OFFSET(選手情報!$A$6:$M$119,BH84,0),13,FALSE)),"")</f>
        <v/>
      </c>
    </row>
    <row r="85" spans="1:61" s="127" customFormat="1" ht="12.6" customHeight="1">
      <c r="A85" s="128" t="str">
        <f>IF(ISNA(VLOOKUP($C$2&amp;N85,選手データ!A:H,3,FALSE)),"",IF(M85&lt;&gt;M84,VLOOKUP($C$2&amp;N85,選手データ!A:H,3,FALSE),""))</f>
        <v/>
      </c>
      <c r="B85" s="129" t="str">
        <f>IF(A85&lt;&gt;"",VLOOKUP($C$2&amp;N85,選手データ!A:H,4,FALSE),"")</f>
        <v/>
      </c>
      <c r="C85" s="129" t="str">
        <f>IF(A85&lt;&gt;"",VLOOKUP($C$2&amp;N85,選手データ!A:H,5,FALSE),"")</f>
        <v/>
      </c>
      <c r="D85" s="129" t="str">
        <f>IF(A85&lt;&gt;"",VLOOKUP($C$2&amp;N85,選手データ!A:H,6,FALSE),"")</f>
        <v/>
      </c>
      <c r="E85" s="129" t="str">
        <f>IF(A85&lt;&gt;"",VLOOKUP($C$2&amp;N85,選手データ!A:H,7,FALSE),"")</f>
        <v/>
      </c>
      <c r="F85" s="130" t="str">
        <f>IF(A85&lt;&gt;"",VLOOKUP($C$2&amp;N85,選手データ!A:H,8,FALSE),"")</f>
        <v/>
      </c>
      <c r="G85" s="130" t="str">
        <f>IF(F85&lt;&gt;"",IF(DATEDIF(F85,設定!$B$12,"Y")&lt;20,"〇",""),"")</f>
        <v/>
      </c>
      <c r="H85" s="131" t="str">
        <f t="shared" ca="1" si="0"/>
        <v/>
      </c>
      <c r="I85" s="132" t="str">
        <f t="shared" ca="1" si="1"/>
        <v/>
      </c>
      <c r="J85" s="131" t="str">
        <f t="shared" ca="1" si="2"/>
        <v/>
      </c>
      <c r="K85" s="130" t="str">
        <f>IF(A85&lt;&gt;"",IF(COUNTIF(リレーチーム情報!$B$5:$B$10,A85&amp;E85)=1,"〇",""),"")</f>
        <v/>
      </c>
      <c r="L85" s="133" t="str">
        <f>IF(A85&lt;&gt;"",IF(COUNTIF(リレーチーム情報!$B$11:$B$16,A85&amp;E85)=1,"〇",""),"")</f>
        <v/>
      </c>
      <c r="M85" s="127">
        <f>IF(学校情報!$A$4&lt;&gt;"",0,IF(S84=0,MAX($M$37:M84)+1,M84))</f>
        <v>0</v>
      </c>
      <c r="N85" s="127" t="str">
        <f>IF(M85&lt;&gt;0,VLOOKUP(M85,選手情報!BF:BG,2,FALSE),"")</f>
        <v/>
      </c>
      <c r="O85" s="127" t="str">
        <f ca="1">IF(M85&lt;&gt;0,VLOOKUP(N85,OFFSET(選手情報!$A$6:$W$119,IF(M85&lt;&gt;M84,0,R84),0),13,FALSE),"")</f>
        <v/>
      </c>
      <c r="P85" s="127" t="str">
        <f ca="1">IF(M85&lt;&gt;0,VLOOKUP(N85,OFFSET(選手情報!$A$6:$W$119,IF(M85&lt;&gt;M84,0,R84),0),16,FALSE),"")</f>
        <v/>
      </c>
      <c r="Q85" s="127" t="str">
        <f ca="1">IF(M85&lt;&gt;0,VLOOKUP(N85,OFFSET(選手情報!$A$6:$W$119,IF(M85&lt;&gt;M84,0,R84),0),21,FALSE),"")</f>
        <v/>
      </c>
      <c r="R85" s="127">
        <f ca="1">IF(M85&lt;&gt;0,VLOOKUP(N85,OFFSET(選手情報!$A$6:$BD$119,IF(M85&lt;&gt;M84,0,R84),0),56,FALSE),0)</f>
        <v>0</v>
      </c>
      <c r="S85" s="127">
        <f ca="1">IF(M85&lt;&gt;0,IF(ISNA(R85),0,COUNTIF(OFFSET(選手情報!$A$6:$A$119,R85,0),N85)),0)</f>
        <v>0</v>
      </c>
      <c r="U85" s="127">
        <f t="shared" si="3"/>
        <v>0</v>
      </c>
      <c r="V85" s="127">
        <f t="shared" ca="1" si="4"/>
        <v>1</v>
      </c>
      <c r="W85" s="127">
        <f t="shared" ca="1" si="5"/>
        <v>0</v>
      </c>
      <c r="X85" s="127" t="str">
        <f t="shared" ca="1" si="6"/>
        <v/>
      </c>
      <c r="Y85" s="127" t="str">
        <f>IF($A85&lt;&gt;"",IF(ISNA(VLOOKUP($N85,選手情報!$A$6:$M$119,13,FALSE)),"","/"&amp;VLOOKUP($N85,選手情報!$A$6:$M$119,13,FALSE)),"")</f>
        <v/>
      </c>
      <c r="Z85" s="127" t="str">
        <f ca="1">IF(Y85&lt;&gt;"",IF(ISNA(VLOOKUP($N85,OFFSET(選手情報!$A$6:$BD$119,0,0),56,FALSE)),"",VLOOKUP($N85,OFFSET(選手情報!$A$6:$BD$119,0,0),56,FALSE)),"")</f>
        <v/>
      </c>
      <c r="AA85" s="127" t="str">
        <f ca="1">IF(Z85&lt;&gt;"",IF(ISNA(VLOOKUP($N85,OFFSET(選手情報!$A$6:$M$119,Z85,0),13,FALSE)),"","/"&amp;VLOOKUP($N85,OFFSET(選手情報!$A$6:$M$119,Z85,0),13,FALSE)),"")</f>
        <v/>
      </c>
      <c r="AB85" s="127" t="str">
        <f ca="1">IF(Z85&lt;&gt;"",IF(ISNA(VLOOKUP($N85,OFFSET(選手情報!$A$6:$BD$119,Z85,0),56,FALSE)),"",VLOOKUP($N85,OFFSET(選手情報!$A$6:$BD$119,Z85,0),56,FALSE)),"")</f>
        <v/>
      </c>
      <c r="AC85" s="127" t="str">
        <f ca="1">IF(AB85&lt;&gt;"",IF(ISNA(VLOOKUP($N85,OFFSET(選手情報!$A$6:$M$119,AB85,0),13,FALSE)),"","/"&amp;VLOOKUP($N85,OFFSET(選手情報!$A$6:$M$119,AB85,0),13,FALSE)),"")</f>
        <v/>
      </c>
      <c r="AD85" s="127" t="str">
        <f ca="1">IF(AB85&lt;&gt;"",IF(ISNA(VLOOKUP($N85,OFFSET(選手情報!$A$6:$BD$119,AB85,0),56,FALSE)),"",VLOOKUP($N85,OFFSET(選手情報!$A$6:$BD$119,AB85,0),56,FALSE)),"")</f>
        <v/>
      </c>
      <c r="AE85" s="127" t="str">
        <f ca="1">IF(AD85&lt;&gt;"",IF(ISNA(VLOOKUP($N85,OFFSET(選手情報!$A$6:$M$119,AD85,0),13,FALSE)),"","/"&amp;VLOOKUP($N85,OFFSET(選手情報!$A$6:$M$119,AD85,0),13,FALSE)),"")</f>
        <v/>
      </c>
      <c r="AF85" s="127" t="str">
        <f ca="1">IF(AD85&lt;&gt;"",IF(ISNA(VLOOKUP($N85,OFFSET(選手情報!$A$6:$BD$119,AD85,0),56,FALSE)),"",VLOOKUP($N85,OFFSET(選手情報!$A$6:$BD$119,AD85,0),56,FALSE)),"")</f>
        <v/>
      </c>
      <c r="AG85" s="127" t="str">
        <f ca="1">IF(AF85&lt;&gt;"",IF(ISNA(VLOOKUP($N85,OFFSET(選手情報!$A$6:$M$119,AF85,0),13,FALSE)),"","/"&amp;VLOOKUP($N85,OFFSET(選手情報!$A$6:$M$119,AF85,0),13,FALSE)),"")</f>
        <v/>
      </c>
      <c r="AH85" s="127" t="str">
        <f ca="1">IF(AF85&lt;&gt;"",IF(ISNA(VLOOKUP($N85,OFFSET(選手情報!$A$6:$BD$119,AF85,0),56,FALSE)),"",VLOOKUP($N85,OFFSET(選手情報!$A$6:$BD$119,AF85,0),56,FALSE)),"")</f>
        <v/>
      </c>
      <c r="AI85" s="127" t="str">
        <f ca="1">IF(AH85&lt;&gt;"",IF(ISNA(VLOOKUP($N85,OFFSET(選手情報!$A$6:$M$119,AH85,0),13,FALSE)),"","/"&amp;VLOOKUP($N85,OFFSET(選手情報!$A$6:$M$119,AH85,0),13,FALSE)),"")</f>
        <v/>
      </c>
      <c r="AJ85" s="127" t="str">
        <f ca="1">IF(AH85&lt;&gt;"",IF(ISNA(VLOOKUP($N85,OFFSET(選手情報!$A$6:$BD$119,AH85,0),56,FALSE)),"",VLOOKUP($N85,OFFSET(選手情報!$A$6:$BD$119,AH85,0),56,FALSE)),"")</f>
        <v/>
      </c>
      <c r="AK85" s="127" t="str">
        <f ca="1">IF(AJ85&lt;&gt;"",IF(ISNA(VLOOKUP($N85,OFFSET(選手情報!$A$6:$M$119,AJ85,0),13,FALSE)),"","/"&amp;VLOOKUP($N85,OFFSET(選手情報!$A$6:$M$119,AJ85,0),13,FALSE)),"")</f>
        <v/>
      </c>
      <c r="AL85" s="127" t="str">
        <f ca="1">IF(AJ85&lt;&gt;"",IF(ISNA(VLOOKUP($N85,OFFSET(選手情報!$A$6:$BD$119,AJ85,0),56,FALSE)),"",VLOOKUP($N85,OFFSET(選手情報!$A$6:$BD$119,AJ85,0),56,FALSE)),"")</f>
        <v/>
      </c>
      <c r="AM85" s="127" t="str">
        <f ca="1">IF(AL85&lt;&gt;"",IF(ISNA(VLOOKUP($N85,OFFSET(選手情報!$A$6:$M$119,AL85,0),13,FALSE)),"","/"&amp;VLOOKUP($N85,OFFSET(選手情報!$A$6:$M$119,AL85,0),13,FALSE)),"")</f>
        <v/>
      </c>
      <c r="AN85" s="127" t="str">
        <f ca="1">IF(AL85&lt;&gt;"",IF(ISNA(VLOOKUP($N85,OFFSET(選手情報!$A$6:$BD$119,AL85,0),56,FALSE)),"",VLOOKUP($N85,OFFSET(選手情報!$A$6:$BD$119,AL85,0),56,FALSE)),"")</f>
        <v/>
      </c>
      <c r="AO85" s="127" t="str">
        <f ca="1">IF(AN85&lt;&gt;"",IF(ISNA(VLOOKUP($N85,OFFSET(選手情報!$A$6:$M$119,AN85,0),13,FALSE)),"","/"&amp;VLOOKUP($N85,OFFSET(選手情報!$A$6:$M$119,AN85,0),13,FALSE)),"")</f>
        <v/>
      </c>
      <c r="AP85" s="127" t="str">
        <f ca="1">IF(AN85&lt;&gt;"",IF(ISNA(VLOOKUP($N85,OFFSET(選手情報!$A$6:$BD$119,AN85,0),56,FALSE)),"",VLOOKUP($N85,OFFSET(選手情報!$A$6:$BD$119,AN85,0),56,FALSE)),"")</f>
        <v/>
      </c>
      <c r="AQ85" s="127" t="str">
        <f ca="1">IF(AP85&lt;&gt;"",IF(ISNA(VLOOKUP($N85,OFFSET(選手情報!$A$6:$M$119,AP85,0),13,FALSE)),"","/"&amp;VLOOKUP($N85,OFFSET(選手情報!$A$6:$M$119,AP85,0),13,FALSE)),"")</f>
        <v/>
      </c>
      <c r="AR85" s="127" t="str">
        <f ca="1">IF(AP85&lt;&gt;"",IF(ISNA(VLOOKUP($N85,OFFSET(選手情報!$A$6:$BD$119,AP85,0),56,FALSE)),"",VLOOKUP($N85,OFFSET(選手情報!$A$6:$BD$119,AP85,0),56,FALSE)),"")</f>
        <v/>
      </c>
      <c r="AS85" s="127" t="str">
        <f ca="1">IF(AR85&lt;&gt;"",IF(ISNA(VLOOKUP($N85,OFFSET(選手情報!$A$6:$M$119,AR85,0),13,FALSE)),"","/"&amp;VLOOKUP($N85,OFFSET(選手情報!$A$6:$M$119,AR85,0),13,FALSE)),"")</f>
        <v/>
      </c>
      <c r="AT85" s="127" t="str">
        <f ca="1">IF(AR85&lt;&gt;"",IF(ISNA(VLOOKUP($N85,OFFSET(選手情報!$A$6:$BD$119,AR85,0),56,FALSE)),"",VLOOKUP($N85,OFFSET(選手情報!$A$6:$BD$119,AR85,0),56,FALSE)),"")</f>
        <v/>
      </c>
      <c r="AU85" s="127" t="str">
        <f ca="1">IF(AT85&lt;&gt;"",IF(ISNA(VLOOKUP($N85,OFFSET(選手情報!$A$6:$M$119,AT85,0),13,FALSE)),"","/"&amp;VLOOKUP($N85,OFFSET(選手情報!$A$6:$M$119,AT85,0),13,FALSE)),"")</f>
        <v/>
      </c>
      <c r="AV85" s="127" t="str">
        <f ca="1">IF(AT85&lt;&gt;"",IF(ISNA(VLOOKUP($N85,OFFSET(選手情報!$A$6:$BD$119,AT85,0),56,FALSE)),"",VLOOKUP($N85,OFFSET(選手情報!$A$6:$BD$119,AT85,0),56,FALSE)),"")</f>
        <v/>
      </c>
      <c r="AW85" s="127" t="str">
        <f ca="1">IF(AV85&lt;&gt;"",IF(ISNA(VLOOKUP($N85,OFFSET(選手情報!$A$6:$M$119,AV85,0),13,FALSE)),"","/"&amp;VLOOKUP($N85,OFFSET(選手情報!$A$6:$M$119,AV85,0),13,FALSE)),"")</f>
        <v/>
      </c>
      <c r="AX85" s="127" t="str">
        <f ca="1">IF(AV85&lt;&gt;"",IF(ISNA(VLOOKUP($N85,OFFSET(選手情報!$A$6:$BD$119,AV85,0),56,FALSE)),"",VLOOKUP($N85,OFFSET(選手情報!$A$6:$BD$119,AV85,0),56,FALSE)),"")</f>
        <v/>
      </c>
      <c r="AY85" s="127" t="str">
        <f ca="1">IF(AX85&lt;&gt;"",IF(ISNA(VLOOKUP($N85,OFFSET(選手情報!$A$6:$M$119,AX85,0),13,FALSE)),"","/"&amp;VLOOKUP($N85,OFFSET(選手情報!$A$6:$M$119,AX85,0),13,FALSE)),"")</f>
        <v/>
      </c>
      <c r="AZ85" s="127" t="str">
        <f ca="1">IF(AX85&lt;&gt;"",IF(ISNA(VLOOKUP($N85,OFFSET(選手情報!$A$6:$BD$119,AX85,0),56,FALSE)),"",VLOOKUP($N85,OFFSET(選手情報!$A$6:$BD$119,AX85,0),56,FALSE)),"")</f>
        <v/>
      </c>
      <c r="BA85" s="127" t="str">
        <f ca="1">IF(AZ85&lt;&gt;"",IF(ISNA(VLOOKUP($N85,OFFSET(選手情報!$A$6:$M$119,AZ85,0),13,FALSE)),"","/"&amp;VLOOKUP($N85,OFFSET(選手情報!$A$6:$M$119,AZ85,0),13,FALSE)),"")</f>
        <v/>
      </c>
      <c r="BB85" s="127" t="str">
        <f ca="1">IF(AZ85&lt;&gt;"",IF(ISNA(VLOOKUP($N85,OFFSET(選手情報!$A$6:$BD$119,AZ85,0),56,FALSE)),"",VLOOKUP($N85,OFFSET(選手情報!$A$6:$BD$119,AZ85,0),56,FALSE)),"")</f>
        <v/>
      </c>
      <c r="BC85" s="127" t="str">
        <f ca="1">IF(BB85&lt;&gt;"",IF(ISNA(VLOOKUP($N85,OFFSET(選手情報!$A$6:$M$119,BB85,0),13,FALSE)),"","/"&amp;VLOOKUP($N85,OFFSET(選手情報!$A$6:$M$119,BB85,0),13,FALSE)),"")</f>
        <v/>
      </c>
      <c r="BD85" s="127" t="str">
        <f ca="1">IF(BB85&lt;&gt;"",IF(ISNA(VLOOKUP($N85,OFFSET(選手情報!$A$6:$BD$119,BB85,0),56,FALSE)),"",VLOOKUP($N85,OFFSET(選手情報!$A$6:$BD$119,BB85,0),56,FALSE)),"")</f>
        <v/>
      </c>
      <c r="BE85" s="127" t="str">
        <f ca="1">IF(BD85&lt;&gt;"",IF(ISNA(VLOOKUP($N85,OFFSET(選手情報!$A$6:$M$119,BD85,0),13,FALSE)),"","/"&amp;VLOOKUP($N85,OFFSET(選手情報!$A$6:$M$119,BD85,0),13,FALSE)),"")</f>
        <v/>
      </c>
      <c r="BF85" s="127" t="str">
        <f ca="1">IF(BD85&lt;&gt;"",IF(ISNA(VLOOKUP($N85,OFFSET(選手情報!$A$6:$BD$119,BD85,0),56,FALSE)),"",VLOOKUP($N85,OFFSET(選手情報!$A$6:$BD$119,BD85,0),56,FALSE)),"")</f>
        <v/>
      </c>
      <c r="BG85" s="127" t="str">
        <f ca="1">IF(BF85&lt;&gt;"",IF(ISNA(VLOOKUP($N85,OFFSET(選手情報!$A$6:$M$119,BF85,0),13,FALSE)),"","/"&amp;VLOOKUP($N85,OFFSET(選手情報!$A$6:$M$119,BF85,0),13,FALSE)),"")</f>
        <v/>
      </c>
      <c r="BH85" s="127" t="str">
        <f ca="1">IF(BF85&lt;&gt;"",IF(ISNA(VLOOKUP($N85,OFFSET(選手情報!$A$6:$BD$119,BF85,0),56,FALSE)),"",VLOOKUP($N85,OFFSET(選手情報!$A$6:$BD$119,BF85,0),56,FALSE)),"")</f>
        <v/>
      </c>
      <c r="BI85" s="127" t="str">
        <f ca="1">IF(BH85&lt;&gt;"",IF(ISNA(VLOOKUP($N85,OFFSET(選手情報!$A$6:$M$119,BH85,0),13,FALSE)),"","/"&amp;VLOOKUP($N85,OFFSET(選手情報!$A$6:$M$119,BH85,0),13,FALSE)),"")</f>
        <v/>
      </c>
    </row>
    <row r="86" spans="1:61" s="127" customFormat="1" ht="12.6" customHeight="1">
      <c r="A86" s="128" t="str">
        <f>IF(ISNA(VLOOKUP($C$2&amp;N86,選手データ!A:H,3,FALSE)),"",IF(M86&lt;&gt;M85,VLOOKUP($C$2&amp;N86,選手データ!A:H,3,FALSE),""))</f>
        <v/>
      </c>
      <c r="B86" s="129" t="str">
        <f>IF(A86&lt;&gt;"",VLOOKUP($C$2&amp;N86,選手データ!A:H,4,FALSE),"")</f>
        <v/>
      </c>
      <c r="C86" s="129" t="str">
        <f>IF(A86&lt;&gt;"",VLOOKUP($C$2&amp;N86,選手データ!A:H,5,FALSE),"")</f>
        <v/>
      </c>
      <c r="D86" s="129" t="str">
        <f>IF(A86&lt;&gt;"",VLOOKUP($C$2&amp;N86,選手データ!A:H,6,FALSE),"")</f>
        <v/>
      </c>
      <c r="E86" s="129" t="str">
        <f>IF(A86&lt;&gt;"",VLOOKUP($C$2&amp;N86,選手データ!A:H,7,FALSE),"")</f>
        <v/>
      </c>
      <c r="F86" s="130" t="str">
        <f>IF(A86&lt;&gt;"",VLOOKUP($C$2&amp;N86,選手データ!A:H,8,FALSE),"")</f>
        <v/>
      </c>
      <c r="G86" s="130" t="str">
        <f>IF(F86&lt;&gt;"",IF(DATEDIF(F86,設定!$B$12,"Y")&lt;20,"〇",""),"")</f>
        <v/>
      </c>
      <c r="H86" s="131" t="str">
        <f t="shared" ca="1" si="0"/>
        <v/>
      </c>
      <c r="I86" s="132" t="str">
        <f t="shared" ca="1" si="1"/>
        <v/>
      </c>
      <c r="J86" s="131" t="str">
        <f t="shared" ca="1" si="2"/>
        <v/>
      </c>
      <c r="K86" s="130" t="str">
        <f>IF(A86&lt;&gt;"",IF(COUNTIF(リレーチーム情報!$B$5:$B$10,A86&amp;E86)=1,"〇",""),"")</f>
        <v/>
      </c>
      <c r="L86" s="133" t="str">
        <f>IF(A86&lt;&gt;"",IF(COUNTIF(リレーチーム情報!$B$11:$B$16,A86&amp;E86)=1,"〇",""),"")</f>
        <v/>
      </c>
      <c r="M86" s="127">
        <f>IF(学校情報!$A$4&lt;&gt;"",0,IF(S85=0,MAX($M$37:M85)+1,M85))</f>
        <v>0</v>
      </c>
      <c r="N86" s="127" t="str">
        <f>IF(M86&lt;&gt;0,VLOOKUP(M86,選手情報!BF:BG,2,FALSE),"")</f>
        <v/>
      </c>
      <c r="O86" s="127" t="str">
        <f ca="1">IF(M86&lt;&gt;0,VLOOKUP(N86,OFFSET(選手情報!$A$6:$W$119,IF(M86&lt;&gt;M85,0,R85),0),13,FALSE),"")</f>
        <v/>
      </c>
      <c r="P86" s="127" t="str">
        <f ca="1">IF(M86&lt;&gt;0,VLOOKUP(N86,OFFSET(選手情報!$A$6:$W$119,IF(M86&lt;&gt;M85,0,R85),0),16,FALSE),"")</f>
        <v/>
      </c>
      <c r="Q86" s="127" t="str">
        <f ca="1">IF(M86&lt;&gt;0,VLOOKUP(N86,OFFSET(選手情報!$A$6:$W$119,IF(M86&lt;&gt;M85,0,R85),0),21,FALSE),"")</f>
        <v/>
      </c>
      <c r="R86" s="127">
        <f ca="1">IF(M86&lt;&gt;0,VLOOKUP(N86,OFFSET(選手情報!$A$6:$BD$119,IF(M86&lt;&gt;M85,0,R85),0),56,FALSE),0)</f>
        <v>0</v>
      </c>
      <c r="S86" s="127">
        <f ca="1">IF(M86&lt;&gt;0,IF(ISNA(R86),0,COUNTIF(OFFSET(選手情報!$A$6:$A$119,R86,0),N86)),0)</f>
        <v>0</v>
      </c>
      <c r="U86" s="127">
        <f t="shared" si="3"/>
        <v>0</v>
      </c>
      <c r="V86" s="127">
        <f t="shared" ca="1" si="4"/>
        <v>1</v>
      </c>
      <c r="W86" s="127">
        <f t="shared" ca="1" si="5"/>
        <v>0</v>
      </c>
      <c r="X86" s="127" t="str">
        <f t="shared" ca="1" si="6"/>
        <v/>
      </c>
      <c r="Y86" s="127" t="str">
        <f>IF($A86&lt;&gt;"",IF(ISNA(VLOOKUP($N86,選手情報!$A$6:$M$119,13,FALSE)),"","/"&amp;VLOOKUP($N86,選手情報!$A$6:$M$119,13,FALSE)),"")</f>
        <v/>
      </c>
      <c r="Z86" s="127" t="str">
        <f ca="1">IF(Y86&lt;&gt;"",IF(ISNA(VLOOKUP($N86,OFFSET(選手情報!$A$6:$BD$119,0,0),56,FALSE)),"",VLOOKUP($N86,OFFSET(選手情報!$A$6:$BD$119,0,0),56,FALSE)),"")</f>
        <v/>
      </c>
      <c r="AA86" s="127" t="str">
        <f ca="1">IF(Z86&lt;&gt;"",IF(ISNA(VLOOKUP($N86,OFFSET(選手情報!$A$6:$M$119,Z86,0),13,FALSE)),"","/"&amp;VLOOKUP($N86,OFFSET(選手情報!$A$6:$M$119,Z86,0),13,FALSE)),"")</f>
        <v/>
      </c>
      <c r="AB86" s="127" t="str">
        <f ca="1">IF(Z86&lt;&gt;"",IF(ISNA(VLOOKUP($N86,OFFSET(選手情報!$A$6:$BD$119,Z86,0),56,FALSE)),"",VLOOKUP($N86,OFFSET(選手情報!$A$6:$BD$119,Z86,0),56,FALSE)),"")</f>
        <v/>
      </c>
      <c r="AC86" s="127" t="str">
        <f ca="1">IF(AB86&lt;&gt;"",IF(ISNA(VLOOKUP($N86,OFFSET(選手情報!$A$6:$M$119,AB86,0),13,FALSE)),"","/"&amp;VLOOKUP($N86,OFFSET(選手情報!$A$6:$M$119,AB86,0),13,FALSE)),"")</f>
        <v/>
      </c>
      <c r="AD86" s="127" t="str">
        <f ca="1">IF(AB86&lt;&gt;"",IF(ISNA(VLOOKUP($N86,OFFSET(選手情報!$A$6:$BD$119,AB86,0),56,FALSE)),"",VLOOKUP($N86,OFFSET(選手情報!$A$6:$BD$119,AB86,0),56,FALSE)),"")</f>
        <v/>
      </c>
      <c r="AE86" s="127" t="str">
        <f ca="1">IF(AD86&lt;&gt;"",IF(ISNA(VLOOKUP($N86,OFFSET(選手情報!$A$6:$M$119,AD86,0),13,FALSE)),"","/"&amp;VLOOKUP($N86,OFFSET(選手情報!$A$6:$M$119,AD86,0),13,FALSE)),"")</f>
        <v/>
      </c>
      <c r="AF86" s="127" t="str">
        <f ca="1">IF(AD86&lt;&gt;"",IF(ISNA(VLOOKUP($N86,OFFSET(選手情報!$A$6:$BD$119,AD86,0),56,FALSE)),"",VLOOKUP($N86,OFFSET(選手情報!$A$6:$BD$119,AD86,0),56,FALSE)),"")</f>
        <v/>
      </c>
      <c r="AG86" s="127" t="str">
        <f ca="1">IF(AF86&lt;&gt;"",IF(ISNA(VLOOKUP($N86,OFFSET(選手情報!$A$6:$M$119,AF86,0),13,FALSE)),"","/"&amp;VLOOKUP($N86,OFFSET(選手情報!$A$6:$M$119,AF86,0),13,FALSE)),"")</f>
        <v/>
      </c>
      <c r="AH86" s="127" t="str">
        <f ca="1">IF(AF86&lt;&gt;"",IF(ISNA(VLOOKUP($N86,OFFSET(選手情報!$A$6:$BD$119,AF86,0),56,FALSE)),"",VLOOKUP($N86,OFFSET(選手情報!$A$6:$BD$119,AF86,0),56,FALSE)),"")</f>
        <v/>
      </c>
      <c r="AI86" s="127" t="str">
        <f ca="1">IF(AH86&lt;&gt;"",IF(ISNA(VLOOKUP($N86,OFFSET(選手情報!$A$6:$M$119,AH86,0),13,FALSE)),"","/"&amp;VLOOKUP($N86,OFFSET(選手情報!$A$6:$M$119,AH86,0),13,FALSE)),"")</f>
        <v/>
      </c>
      <c r="AJ86" s="127" t="str">
        <f ca="1">IF(AH86&lt;&gt;"",IF(ISNA(VLOOKUP($N86,OFFSET(選手情報!$A$6:$BD$119,AH86,0),56,FALSE)),"",VLOOKUP($N86,OFFSET(選手情報!$A$6:$BD$119,AH86,0),56,FALSE)),"")</f>
        <v/>
      </c>
      <c r="AK86" s="127" t="str">
        <f ca="1">IF(AJ86&lt;&gt;"",IF(ISNA(VLOOKUP($N86,OFFSET(選手情報!$A$6:$M$119,AJ86,0),13,FALSE)),"","/"&amp;VLOOKUP($N86,OFFSET(選手情報!$A$6:$M$119,AJ86,0),13,FALSE)),"")</f>
        <v/>
      </c>
      <c r="AL86" s="127" t="str">
        <f ca="1">IF(AJ86&lt;&gt;"",IF(ISNA(VLOOKUP($N86,OFFSET(選手情報!$A$6:$BD$119,AJ86,0),56,FALSE)),"",VLOOKUP($N86,OFFSET(選手情報!$A$6:$BD$119,AJ86,0),56,FALSE)),"")</f>
        <v/>
      </c>
      <c r="AM86" s="127" t="str">
        <f ca="1">IF(AL86&lt;&gt;"",IF(ISNA(VLOOKUP($N86,OFFSET(選手情報!$A$6:$M$119,AL86,0),13,FALSE)),"","/"&amp;VLOOKUP($N86,OFFSET(選手情報!$A$6:$M$119,AL86,0),13,FALSE)),"")</f>
        <v/>
      </c>
      <c r="AN86" s="127" t="str">
        <f ca="1">IF(AL86&lt;&gt;"",IF(ISNA(VLOOKUP($N86,OFFSET(選手情報!$A$6:$BD$119,AL86,0),56,FALSE)),"",VLOOKUP($N86,OFFSET(選手情報!$A$6:$BD$119,AL86,0),56,FALSE)),"")</f>
        <v/>
      </c>
      <c r="AO86" s="127" t="str">
        <f ca="1">IF(AN86&lt;&gt;"",IF(ISNA(VLOOKUP($N86,OFFSET(選手情報!$A$6:$M$119,AN86,0),13,FALSE)),"","/"&amp;VLOOKUP($N86,OFFSET(選手情報!$A$6:$M$119,AN86,0),13,FALSE)),"")</f>
        <v/>
      </c>
      <c r="AP86" s="127" t="str">
        <f ca="1">IF(AN86&lt;&gt;"",IF(ISNA(VLOOKUP($N86,OFFSET(選手情報!$A$6:$BD$119,AN86,0),56,FALSE)),"",VLOOKUP($N86,OFFSET(選手情報!$A$6:$BD$119,AN86,0),56,FALSE)),"")</f>
        <v/>
      </c>
      <c r="AQ86" s="127" t="str">
        <f ca="1">IF(AP86&lt;&gt;"",IF(ISNA(VLOOKUP($N86,OFFSET(選手情報!$A$6:$M$119,AP86,0),13,FALSE)),"","/"&amp;VLOOKUP($N86,OFFSET(選手情報!$A$6:$M$119,AP86,0),13,FALSE)),"")</f>
        <v/>
      </c>
      <c r="AR86" s="127" t="str">
        <f ca="1">IF(AP86&lt;&gt;"",IF(ISNA(VLOOKUP($N86,OFFSET(選手情報!$A$6:$BD$119,AP86,0),56,FALSE)),"",VLOOKUP($N86,OFFSET(選手情報!$A$6:$BD$119,AP86,0),56,FALSE)),"")</f>
        <v/>
      </c>
      <c r="AS86" s="127" t="str">
        <f ca="1">IF(AR86&lt;&gt;"",IF(ISNA(VLOOKUP($N86,OFFSET(選手情報!$A$6:$M$119,AR86,0),13,FALSE)),"","/"&amp;VLOOKUP($N86,OFFSET(選手情報!$A$6:$M$119,AR86,0),13,FALSE)),"")</f>
        <v/>
      </c>
      <c r="AT86" s="127" t="str">
        <f ca="1">IF(AR86&lt;&gt;"",IF(ISNA(VLOOKUP($N86,OFFSET(選手情報!$A$6:$BD$119,AR86,0),56,FALSE)),"",VLOOKUP($N86,OFFSET(選手情報!$A$6:$BD$119,AR86,0),56,FALSE)),"")</f>
        <v/>
      </c>
      <c r="AU86" s="127" t="str">
        <f ca="1">IF(AT86&lt;&gt;"",IF(ISNA(VLOOKUP($N86,OFFSET(選手情報!$A$6:$M$119,AT86,0),13,FALSE)),"","/"&amp;VLOOKUP($N86,OFFSET(選手情報!$A$6:$M$119,AT86,0),13,FALSE)),"")</f>
        <v/>
      </c>
      <c r="AV86" s="127" t="str">
        <f ca="1">IF(AT86&lt;&gt;"",IF(ISNA(VLOOKUP($N86,OFFSET(選手情報!$A$6:$BD$119,AT86,0),56,FALSE)),"",VLOOKUP($N86,OFFSET(選手情報!$A$6:$BD$119,AT86,0),56,FALSE)),"")</f>
        <v/>
      </c>
      <c r="AW86" s="127" t="str">
        <f ca="1">IF(AV86&lt;&gt;"",IF(ISNA(VLOOKUP($N86,OFFSET(選手情報!$A$6:$M$119,AV86,0),13,FALSE)),"","/"&amp;VLOOKUP($N86,OFFSET(選手情報!$A$6:$M$119,AV86,0),13,FALSE)),"")</f>
        <v/>
      </c>
      <c r="AX86" s="127" t="str">
        <f ca="1">IF(AV86&lt;&gt;"",IF(ISNA(VLOOKUP($N86,OFFSET(選手情報!$A$6:$BD$119,AV86,0),56,FALSE)),"",VLOOKUP($N86,OFFSET(選手情報!$A$6:$BD$119,AV86,0),56,FALSE)),"")</f>
        <v/>
      </c>
      <c r="AY86" s="127" t="str">
        <f ca="1">IF(AX86&lt;&gt;"",IF(ISNA(VLOOKUP($N86,OFFSET(選手情報!$A$6:$M$119,AX86,0),13,FALSE)),"","/"&amp;VLOOKUP($N86,OFFSET(選手情報!$A$6:$M$119,AX86,0),13,FALSE)),"")</f>
        <v/>
      </c>
      <c r="AZ86" s="127" t="str">
        <f ca="1">IF(AX86&lt;&gt;"",IF(ISNA(VLOOKUP($N86,OFFSET(選手情報!$A$6:$BD$119,AX86,0),56,FALSE)),"",VLOOKUP($N86,OFFSET(選手情報!$A$6:$BD$119,AX86,0),56,FALSE)),"")</f>
        <v/>
      </c>
      <c r="BA86" s="127" t="str">
        <f ca="1">IF(AZ86&lt;&gt;"",IF(ISNA(VLOOKUP($N86,OFFSET(選手情報!$A$6:$M$119,AZ86,0),13,FALSE)),"","/"&amp;VLOOKUP($N86,OFFSET(選手情報!$A$6:$M$119,AZ86,0),13,FALSE)),"")</f>
        <v/>
      </c>
      <c r="BB86" s="127" t="str">
        <f ca="1">IF(AZ86&lt;&gt;"",IF(ISNA(VLOOKUP($N86,OFFSET(選手情報!$A$6:$BD$119,AZ86,0),56,FALSE)),"",VLOOKUP($N86,OFFSET(選手情報!$A$6:$BD$119,AZ86,0),56,FALSE)),"")</f>
        <v/>
      </c>
      <c r="BC86" s="127" t="str">
        <f ca="1">IF(BB86&lt;&gt;"",IF(ISNA(VLOOKUP($N86,OFFSET(選手情報!$A$6:$M$119,BB86,0),13,FALSE)),"","/"&amp;VLOOKUP($N86,OFFSET(選手情報!$A$6:$M$119,BB86,0),13,FALSE)),"")</f>
        <v/>
      </c>
      <c r="BD86" s="127" t="str">
        <f ca="1">IF(BB86&lt;&gt;"",IF(ISNA(VLOOKUP($N86,OFFSET(選手情報!$A$6:$BD$119,BB86,0),56,FALSE)),"",VLOOKUP($N86,OFFSET(選手情報!$A$6:$BD$119,BB86,0),56,FALSE)),"")</f>
        <v/>
      </c>
      <c r="BE86" s="127" t="str">
        <f ca="1">IF(BD86&lt;&gt;"",IF(ISNA(VLOOKUP($N86,OFFSET(選手情報!$A$6:$M$119,BD86,0),13,FALSE)),"","/"&amp;VLOOKUP($N86,OFFSET(選手情報!$A$6:$M$119,BD86,0),13,FALSE)),"")</f>
        <v/>
      </c>
      <c r="BF86" s="127" t="str">
        <f ca="1">IF(BD86&lt;&gt;"",IF(ISNA(VLOOKUP($N86,OFFSET(選手情報!$A$6:$BD$119,BD86,0),56,FALSE)),"",VLOOKUP($N86,OFFSET(選手情報!$A$6:$BD$119,BD86,0),56,FALSE)),"")</f>
        <v/>
      </c>
      <c r="BG86" s="127" t="str">
        <f ca="1">IF(BF86&lt;&gt;"",IF(ISNA(VLOOKUP($N86,OFFSET(選手情報!$A$6:$M$119,BF86,0),13,FALSE)),"","/"&amp;VLOOKUP($N86,OFFSET(選手情報!$A$6:$M$119,BF86,0),13,FALSE)),"")</f>
        <v/>
      </c>
      <c r="BH86" s="127" t="str">
        <f ca="1">IF(BF86&lt;&gt;"",IF(ISNA(VLOOKUP($N86,OFFSET(選手情報!$A$6:$BD$119,BF86,0),56,FALSE)),"",VLOOKUP($N86,OFFSET(選手情報!$A$6:$BD$119,BF86,0),56,FALSE)),"")</f>
        <v/>
      </c>
      <c r="BI86" s="127" t="str">
        <f ca="1">IF(BH86&lt;&gt;"",IF(ISNA(VLOOKUP($N86,OFFSET(選手情報!$A$6:$M$119,BH86,0),13,FALSE)),"","/"&amp;VLOOKUP($N86,OFFSET(選手情報!$A$6:$M$119,BH86,0),13,FALSE)),"")</f>
        <v/>
      </c>
    </row>
    <row r="87" spans="1:61" s="127" customFormat="1" ht="12.6" customHeight="1">
      <c r="A87" s="128" t="str">
        <f>IF(ISNA(VLOOKUP($C$2&amp;N87,選手データ!A:H,3,FALSE)),"",IF(M87&lt;&gt;M86,VLOOKUP($C$2&amp;N87,選手データ!A:H,3,FALSE),""))</f>
        <v/>
      </c>
      <c r="B87" s="129" t="str">
        <f>IF(A87&lt;&gt;"",VLOOKUP($C$2&amp;N87,選手データ!A:H,4,FALSE),"")</f>
        <v/>
      </c>
      <c r="C87" s="129" t="str">
        <f>IF(A87&lt;&gt;"",VLOOKUP($C$2&amp;N87,選手データ!A:H,5,FALSE),"")</f>
        <v/>
      </c>
      <c r="D87" s="129" t="str">
        <f>IF(A87&lt;&gt;"",VLOOKUP($C$2&amp;N87,選手データ!A:H,6,FALSE),"")</f>
        <v/>
      </c>
      <c r="E87" s="129" t="str">
        <f>IF(A87&lt;&gt;"",VLOOKUP($C$2&amp;N87,選手データ!A:H,7,FALSE),"")</f>
        <v/>
      </c>
      <c r="F87" s="130" t="str">
        <f>IF(A87&lt;&gt;"",VLOOKUP($C$2&amp;N87,選手データ!A:H,8,FALSE),"")</f>
        <v/>
      </c>
      <c r="G87" s="130" t="str">
        <f>IF(F87&lt;&gt;"",IF(DATEDIF(F87,設定!$B$12,"Y")&lt;20,"〇",""),"")</f>
        <v/>
      </c>
      <c r="H87" s="131" t="str">
        <f t="shared" ca="1" si="0"/>
        <v/>
      </c>
      <c r="I87" s="132" t="str">
        <f t="shared" ca="1" si="1"/>
        <v/>
      </c>
      <c r="J87" s="131" t="str">
        <f t="shared" ca="1" si="2"/>
        <v/>
      </c>
      <c r="K87" s="130" t="str">
        <f>IF(A87&lt;&gt;"",IF(COUNTIF(リレーチーム情報!$B$5:$B$10,A87&amp;E87)=1,"〇",""),"")</f>
        <v/>
      </c>
      <c r="L87" s="133" t="str">
        <f>IF(A87&lt;&gt;"",IF(COUNTIF(リレーチーム情報!$B$11:$B$16,A87&amp;E87)=1,"〇",""),"")</f>
        <v/>
      </c>
      <c r="M87" s="127">
        <f>IF(学校情報!$A$4&lt;&gt;"",0,IF(S86=0,MAX($M$37:M86)+1,M86))</f>
        <v>0</v>
      </c>
      <c r="N87" s="127" t="str">
        <f>IF(M87&lt;&gt;0,VLOOKUP(M87,選手情報!BF:BG,2,FALSE),"")</f>
        <v/>
      </c>
      <c r="O87" s="127" t="str">
        <f ca="1">IF(M87&lt;&gt;0,VLOOKUP(N87,OFFSET(選手情報!$A$6:$W$119,IF(M87&lt;&gt;M86,0,R86),0),13,FALSE),"")</f>
        <v/>
      </c>
      <c r="P87" s="127" t="str">
        <f ca="1">IF(M87&lt;&gt;0,VLOOKUP(N87,OFFSET(選手情報!$A$6:$W$119,IF(M87&lt;&gt;M86,0,R86),0),16,FALSE),"")</f>
        <v/>
      </c>
      <c r="Q87" s="127" t="str">
        <f ca="1">IF(M87&lt;&gt;0,VLOOKUP(N87,OFFSET(選手情報!$A$6:$W$119,IF(M87&lt;&gt;M86,0,R86),0),21,FALSE),"")</f>
        <v/>
      </c>
      <c r="R87" s="127">
        <f ca="1">IF(M87&lt;&gt;0,VLOOKUP(N87,OFFSET(選手情報!$A$6:$BD$119,IF(M87&lt;&gt;M86,0,R86),0),56,FALSE),0)</f>
        <v>0</v>
      </c>
      <c r="S87" s="127">
        <f ca="1">IF(M87&lt;&gt;0,IF(ISNA(R87),0,COUNTIF(OFFSET(選手情報!$A$6:$A$119,R87,0),N87)),0)</f>
        <v>0</v>
      </c>
      <c r="U87" s="127">
        <f t="shared" si="3"/>
        <v>0</v>
      </c>
      <c r="V87" s="127">
        <f t="shared" ca="1" si="4"/>
        <v>1</v>
      </c>
      <c r="W87" s="127">
        <f t="shared" ca="1" si="5"/>
        <v>0</v>
      </c>
      <c r="X87" s="127" t="str">
        <f t="shared" ca="1" si="6"/>
        <v/>
      </c>
      <c r="Y87" s="127" t="str">
        <f>IF($A87&lt;&gt;"",IF(ISNA(VLOOKUP($N87,選手情報!$A$6:$M$119,13,FALSE)),"","/"&amp;VLOOKUP($N87,選手情報!$A$6:$M$119,13,FALSE)),"")</f>
        <v/>
      </c>
      <c r="Z87" s="127" t="str">
        <f ca="1">IF(Y87&lt;&gt;"",IF(ISNA(VLOOKUP($N87,OFFSET(選手情報!$A$6:$BD$119,0,0),56,FALSE)),"",VLOOKUP($N87,OFFSET(選手情報!$A$6:$BD$119,0,0),56,FALSE)),"")</f>
        <v/>
      </c>
      <c r="AA87" s="127" t="str">
        <f ca="1">IF(Z87&lt;&gt;"",IF(ISNA(VLOOKUP($N87,OFFSET(選手情報!$A$6:$M$119,Z87,0),13,FALSE)),"","/"&amp;VLOOKUP($N87,OFFSET(選手情報!$A$6:$M$119,Z87,0),13,FALSE)),"")</f>
        <v/>
      </c>
      <c r="AB87" s="127" t="str">
        <f ca="1">IF(Z87&lt;&gt;"",IF(ISNA(VLOOKUP($N87,OFFSET(選手情報!$A$6:$BD$119,Z87,0),56,FALSE)),"",VLOOKUP($N87,OFFSET(選手情報!$A$6:$BD$119,Z87,0),56,FALSE)),"")</f>
        <v/>
      </c>
      <c r="AC87" s="127" t="str">
        <f ca="1">IF(AB87&lt;&gt;"",IF(ISNA(VLOOKUP($N87,OFFSET(選手情報!$A$6:$M$119,AB87,0),13,FALSE)),"","/"&amp;VLOOKUP($N87,OFFSET(選手情報!$A$6:$M$119,AB87,0),13,FALSE)),"")</f>
        <v/>
      </c>
      <c r="AD87" s="127" t="str">
        <f ca="1">IF(AB87&lt;&gt;"",IF(ISNA(VLOOKUP($N87,OFFSET(選手情報!$A$6:$BD$119,AB87,0),56,FALSE)),"",VLOOKUP($N87,OFFSET(選手情報!$A$6:$BD$119,AB87,0),56,FALSE)),"")</f>
        <v/>
      </c>
      <c r="AE87" s="127" t="str">
        <f ca="1">IF(AD87&lt;&gt;"",IF(ISNA(VLOOKUP($N87,OFFSET(選手情報!$A$6:$M$119,AD87,0),13,FALSE)),"","/"&amp;VLOOKUP($N87,OFFSET(選手情報!$A$6:$M$119,AD87,0),13,FALSE)),"")</f>
        <v/>
      </c>
      <c r="AF87" s="127" t="str">
        <f ca="1">IF(AD87&lt;&gt;"",IF(ISNA(VLOOKUP($N87,OFFSET(選手情報!$A$6:$BD$119,AD87,0),56,FALSE)),"",VLOOKUP($N87,OFFSET(選手情報!$A$6:$BD$119,AD87,0),56,FALSE)),"")</f>
        <v/>
      </c>
      <c r="AG87" s="127" t="str">
        <f ca="1">IF(AF87&lt;&gt;"",IF(ISNA(VLOOKUP($N87,OFFSET(選手情報!$A$6:$M$119,AF87,0),13,FALSE)),"","/"&amp;VLOOKUP($N87,OFFSET(選手情報!$A$6:$M$119,AF87,0),13,FALSE)),"")</f>
        <v/>
      </c>
      <c r="AH87" s="127" t="str">
        <f ca="1">IF(AF87&lt;&gt;"",IF(ISNA(VLOOKUP($N87,OFFSET(選手情報!$A$6:$BD$119,AF87,0),56,FALSE)),"",VLOOKUP($N87,OFFSET(選手情報!$A$6:$BD$119,AF87,0),56,FALSE)),"")</f>
        <v/>
      </c>
      <c r="AI87" s="127" t="str">
        <f ca="1">IF(AH87&lt;&gt;"",IF(ISNA(VLOOKUP($N87,OFFSET(選手情報!$A$6:$M$119,AH87,0),13,FALSE)),"","/"&amp;VLOOKUP($N87,OFFSET(選手情報!$A$6:$M$119,AH87,0),13,FALSE)),"")</f>
        <v/>
      </c>
      <c r="AJ87" s="127" t="str">
        <f ca="1">IF(AH87&lt;&gt;"",IF(ISNA(VLOOKUP($N87,OFFSET(選手情報!$A$6:$BD$119,AH87,0),56,FALSE)),"",VLOOKUP($N87,OFFSET(選手情報!$A$6:$BD$119,AH87,0),56,FALSE)),"")</f>
        <v/>
      </c>
      <c r="AK87" s="127" t="str">
        <f ca="1">IF(AJ87&lt;&gt;"",IF(ISNA(VLOOKUP($N87,OFFSET(選手情報!$A$6:$M$119,AJ87,0),13,FALSE)),"","/"&amp;VLOOKUP($N87,OFFSET(選手情報!$A$6:$M$119,AJ87,0),13,FALSE)),"")</f>
        <v/>
      </c>
      <c r="AL87" s="127" t="str">
        <f ca="1">IF(AJ87&lt;&gt;"",IF(ISNA(VLOOKUP($N87,OFFSET(選手情報!$A$6:$BD$119,AJ87,0),56,FALSE)),"",VLOOKUP($N87,OFFSET(選手情報!$A$6:$BD$119,AJ87,0),56,FALSE)),"")</f>
        <v/>
      </c>
      <c r="AM87" s="127" t="str">
        <f ca="1">IF(AL87&lt;&gt;"",IF(ISNA(VLOOKUP($N87,OFFSET(選手情報!$A$6:$M$119,AL87,0),13,FALSE)),"","/"&amp;VLOOKUP($N87,OFFSET(選手情報!$A$6:$M$119,AL87,0),13,FALSE)),"")</f>
        <v/>
      </c>
      <c r="AN87" s="127" t="str">
        <f ca="1">IF(AL87&lt;&gt;"",IF(ISNA(VLOOKUP($N87,OFFSET(選手情報!$A$6:$BD$119,AL87,0),56,FALSE)),"",VLOOKUP($N87,OFFSET(選手情報!$A$6:$BD$119,AL87,0),56,FALSE)),"")</f>
        <v/>
      </c>
      <c r="AO87" s="127" t="str">
        <f ca="1">IF(AN87&lt;&gt;"",IF(ISNA(VLOOKUP($N87,OFFSET(選手情報!$A$6:$M$119,AN87,0),13,FALSE)),"","/"&amp;VLOOKUP($N87,OFFSET(選手情報!$A$6:$M$119,AN87,0),13,FALSE)),"")</f>
        <v/>
      </c>
      <c r="AP87" s="127" t="str">
        <f ca="1">IF(AN87&lt;&gt;"",IF(ISNA(VLOOKUP($N87,OFFSET(選手情報!$A$6:$BD$119,AN87,0),56,FALSE)),"",VLOOKUP($N87,OFFSET(選手情報!$A$6:$BD$119,AN87,0),56,FALSE)),"")</f>
        <v/>
      </c>
      <c r="AQ87" s="127" t="str">
        <f ca="1">IF(AP87&lt;&gt;"",IF(ISNA(VLOOKUP($N87,OFFSET(選手情報!$A$6:$M$119,AP87,0),13,FALSE)),"","/"&amp;VLOOKUP($N87,OFFSET(選手情報!$A$6:$M$119,AP87,0),13,FALSE)),"")</f>
        <v/>
      </c>
      <c r="AR87" s="127" t="str">
        <f ca="1">IF(AP87&lt;&gt;"",IF(ISNA(VLOOKUP($N87,OFFSET(選手情報!$A$6:$BD$119,AP87,0),56,FALSE)),"",VLOOKUP($N87,OFFSET(選手情報!$A$6:$BD$119,AP87,0),56,FALSE)),"")</f>
        <v/>
      </c>
      <c r="AS87" s="127" t="str">
        <f ca="1">IF(AR87&lt;&gt;"",IF(ISNA(VLOOKUP($N87,OFFSET(選手情報!$A$6:$M$119,AR87,0),13,FALSE)),"","/"&amp;VLOOKUP($N87,OFFSET(選手情報!$A$6:$M$119,AR87,0),13,FALSE)),"")</f>
        <v/>
      </c>
      <c r="AT87" s="127" t="str">
        <f ca="1">IF(AR87&lt;&gt;"",IF(ISNA(VLOOKUP($N87,OFFSET(選手情報!$A$6:$BD$119,AR87,0),56,FALSE)),"",VLOOKUP($N87,OFFSET(選手情報!$A$6:$BD$119,AR87,0),56,FALSE)),"")</f>
        <v/>
      </c>
      <c r="AU87" s="127" t="str">
        <f ca="1">IF(AT87&lt;&gt;"",IF(ISNA(VLOOKUP($N87,OFFSET(選手情報!$A$6:$M$119,AT87,0),13,FALSE)),"","/"&amp;VLOOKUP($N87,OFFSET(選手情報!$A$6:$M$119,AT87,0),13,FALSE)),"")</f>
        <v/>
      </c>
      <c r="AV87" s="127" t="str">
        <f ca="1">IF(AT87&lt;&gt;"",IF(ISNA(VLOOKUP($N87,OFFSET(選手情報!$A$6:$BD$119,AT87,0),56,FALSE)),"",VLOOKUP($N87,OFFSET(選手情報!$A$6:$BD$119,AT87,0),56,FALSE)),"")</f>
        <v/>
      </c>
      <c r="AW87" s="127" t="str">
        <f ca="1">IF(AV87&lt;&gt;"",IF(ISNA(VLOOKUP($N87,OFFSET(選手情報!$A$6:$M$119,AV87,0),13,FALSE)),"","/"&amp;VLOOKUP($N87,OFFSET(選手情報!$A$6:$M$119,AV87,0),13,FALSE)),"")</f>
        <v/>
      </c>
      <c r="AX87" s="127" t="str">
        <f ca="1">IF(AV87&lt;&gt;"",IF(ISNA(VLOOKUP($N87,OFFSET(選手情報!$A$6:$BD$119,AV87,0),56,FALSE)),"",VLOOKUP($N87,OFFSET(選手情報!$A$6:$BD$119,AV87,0),56,FALSE)),"")</f>
        <v/>
      </c>
      <c r="AY87" s="127" t="str">
        <f ca="1">IF(AX87&lt;&gt;"",IF(ISNA(VLOOKUP($N87,OFFSET(選手情報!$A$6:$M$119,AX87,0),13,FALSE)),"","/"&amp;VLOOKUP($N87,OFFSET(選手情報!$A$6:$M$119,AX87,0),13,FALSE)),"")</f>
        <v/>
      </c>
      <c r="AZ87" s="127" t="str">
        <f ca="1">IF(AX87&lt;&gt;"",IF(ISNA(VLOOKUP($N87,OFFSET(選手情報!$A$6:$BD$119,AX87,0),56,FALSE)),"",VLOOKUP($N87,OFFSET(選手情報!$A$6:$BD$119,AX87,0),56,FALSE)),"")</f>
        <v/>
      </c>
      <c r="BA87" s="127" t="str">
        <f ca="1">IF(AZ87&lt;&gt;"",IF(ISNA(VLOOKUP($N87,OFFSET(選手情報!$A$6:$M$119,AZ87,0),13,FALSE)),"","/"&amp;VLOOKUP($N87,OFFSET(選手情報!$A$6:$M$119,AZ87,0),13,FALSE)),"")</f>
        <v/>
      </c>
      <c r="BB87" s="127" t="str">
        <f ca="1">IF(AZ87&lt;&gt;"",IF(ISNA(VLOOKUP($N87,OFFSET(選手情報!$A$6:$BD$119,AZ87,0),56,FALSE)),"",VLOOKUP($N87,OFFSET(選手情報!$A$6:$BD$119,AZ87,0),56,FALSE)),"")</f>
        <v/>
      </c>
      <c r="BC87" s="127" t="str">
        <f ca="1">IF(BB87&lt;&gt;"",IF(ISNA(VLOOKUP($N87,OFFSET(選手情報!$A$6:$M$119,BB87,0),13,FALSE)),"","/"&amp;VLOOKUP($N87,OFFSET(選手情報!$A$6:$M$119,BB87,0),13,FALSE)),"")</f>
        <v/>
      </c>
      <c r="BD87" s="127" t="str">
        <f ca="1">IF(BB87&lt;&gt;"",IF(ISNA(VLOOKUP($N87,OFFSET(選手情報!$A$6:$BD$119,BB87,0),56,FALSE)),"",VLOOKUP($N87,OFFSET(選手情報!$A$6:$BD$119,BB87,0),56,FALSE)),"")</f>
        <v/>
      </c>
      <c r="BE87" s="127" t="str">
        <f ca="1">IF(BD87&lt;&gt;"",IF(ISNA(VLOOKUP($N87,OFFSET(選手情報!$A$6:$M$119,BD87,0),13,FALSE)),"","/"&amp;VLOOKUP($N87,OFFSET(選手情報!$A$6:$M$119,BD87,0),13,FALSE)),"")</f>
        <v/>
      </c>
      <c r="BF87" s="127" t="str">
        <f ca="1">IF(BD87&lt;&gt;"",IF(ISNA(VLOOKUP($N87,OFFSET(選手情報!$A$6:$BD$119,BD87,0),56,FALSE)),"",VLOOKUP($N87,OFFSET(選手情報!$A$6:$BD$119,BD87,0),56,FALSE)),"")</f>
        <v/>
      </c>
      <c r="BG87" s="127" t="str">
        <f ca="1">IF(BF87&lt;&gt;"",IF(ISNA(VLOOKUP($N87,OFFSET(選手情報!$A$6:$M$119,BF87,0),13,FALSE)),"","/"&amp;VLOOKUP($N87,OFFSET(選手情報!$A$6:$M$119,BF87,0),13,FALSE)),"")</f>
        <v/>
      </c>
      <c r="BH87" s="127" t="str">
        <f ca="1">IF(BF87&lt;&gt;"",IF(ISNA(VLOOKUP($N87,OFFSET(選手情報!$A$6:$BD$119,BF87,0),56,FALSE)),"",VLOOKUP($N87,OFFSET(選手情報!$A$6:$BD$119,BF87,0),56,FALSE)),"")</f>
        <v/>
      </c>
      <c r="BI87" s="127" t="str">
        <f ca="1">IF(BH87&lt;&gt;"",IF(ISNA(VLOOKUP($N87,OFFSET(選手情報!$A$6:$M$119,BH87,0),13,FALSE)),"","/"&amp;VLOOKUP($N87,OFFSET(選手情報!$A$6:$M$119,BH87,0),13,FALSE)),"")</f>
        <v/>
      </c>
    </row>
    <row r="88" spans="1:61" s="127" customFormat="1" ht="12.6" customHeight="1">
      <c r="A88" s="128" t="str">
        <f>IF(ISNA(VLOOKUP($C$2&amp;N88,選手データ!A:H,3,FALSE)),"",IF(M88&lt;&gt;M87,VLOOKUP($C$2&amp;N88,選手データ!A:H,3,FALSE),""))</f>
        <v/>
      </c>
      <c r="B88" s="129" t="str">
        <f>IF(A88&lt;&gt;"",VLOOKUP($C$2&amp;N88,選手データ!A:H,4,FALSE),"")</f>
        <v/>
      </c>
      <c r="C88" s="129" t="str">
        <f>IF(A88&lt;&gt;"",VLOOKUP($C$2&amp;N88,選手データ!A:H,5,FALSE),"")</f>
        <v/>
      </c>
      <c r="D88" s="129" t="str">
        <f>IF(A88&lt;&gt;"",VLOOKUP($C$2&amp;N88,選手データ!A:H,6,FALSE),"")</f>
        <v/>
      </c>
      <c r="E88" s="129" t="str">
        <f>IF(A88&lt;&gt;"",VLOOKUP($C$2&amp;N88,選手データ!A:H,7,FALSE),"")</f>
        <v/>
      </c>
      <c r="F88" s="130" t="str">
        <f>IF(A88&lt;&gt;"",VLOOKUP($C$2&amp;N88,選手データ!A:H,8,FALSE),"")</f>
        <v/>
      </c>
      <c r="G88" s="130" t="str">
        <f>IF(F88&lt;&gt;"",IF(DATEDIF(F88,設定!$B$12,"Y")&lt;20,"〇",""),"")</f>
        <v/>
      </c>
      <c r="H88" s="131" t="str">
        <f t="shared" ca="1" si="0"/>
        <v/>
      </c>
      <c r="I88" s="132" t="str">
        <f t="shared" ca="1" si="1"/>
        <v/>
      </c>
      <c r="J88" s="131" t="str">
        <f t="shared" ca="1" si="2"/>
        <v/>
      </c>
      <c r="K88" s="130" t="str">
        <f>IF(A88&lt;&gt;"",IF(COUNTIF(リレーチーム情報!$B$5:$B$10,A88&amp;E88)=1,"〇",""),"")</f>
        <v/>
      </c>
      <c r="L88" s="133" t="str">
        <f>IF(A88&lt;&gt;"",IF(COUNTIF(リレーチーム情報!$B$11:$B$16,A88&amp;E88)=1,"〇",""),"")</f>
        <v/>
      </c>
      <c r="M88" s="127">
        <f>IF(学校情報!$A$4&lt;&gt;"",0,IF(S87=0,MAX($M$37:M87)+1,M87))</f>
        <v>0</v>
      </c>
      <c r="N88" s="127" t="str">
        <f>IF(M88&lt;&gt;0,VLOOKUP(M88,選手情報!BF:BG,2,FALSE),"")</f>
        <v/>
      </c>
      <c r="O88" s="127" t="str">
        <f ca="1">IF(M88&lt;&gt;0,VLOOKUP(N88,OFFSET(選手情報!$A$6:$W$119,IF(M88&lt;&gt;M87,0,R87),0),13,FALSE),"")</f>
        <v/>
      </c>
      <c r="P88" s="127" t="str">
        <f ca="1">IF(M88&lt;&gt;0,VLOOKUP(N88,OFFSET(選手情報!$A$6:$W$119,IF(M88&lt;&gt;M87,0,R87),0),16,FALSE),"")</f>
        <v/>
      </c>
      <c r="Q88" s="127" t="str">
        <f ca="1">IF(M88&lt;&gt;0,VLOOKUP(N88,OFFSET(選手情報!$A$6:$W$119,IF(M88&lt;&gt;M87,0,R87),0),21,FALSE),"")</f>
        <v/>
      </c>
      <c r="R88" s="127">
        <f ca="1">IF(M88&lt;&gt;0,VLOOKUP(N88,OFFSET(選手情報!$A$6:$BD$119,IF(M88&lt;&gt;M87,0,R87),0),56,FALSE),0)</f>
        <v>0</v>
      </c>
      <c r="S88" s="127">
        <f ca="1">IF(M88&lt;&gt;0,IF(ISNA(R88),0,COUNTIF(OFFSET(選手情報!$A$6:$A$119,R88,0),N88)),0)</f>
        <v>0</v>
      </c>
      <c r="U88" s="127">
        <f t="shared" si="3"/>
        <v>0</v>
      </c>
      <c r="V88" s="127">
        <f t="shared" ca="1" si="4"/>
        <v>1</v>
      </c>
      <c r="W88" s="127">
        <f t="shared" ca="1" si="5"/>
        <v>0</v>
      </c>
      <c r="X88" s="127" t="str">
        <f t="shared" ca="1" si="6"/>
        <v/>
      </c>
      <c r="Y88" s="127" t="str">
        <f>IF($A88&lt;&gt;"",IF(ISNA(VLOOKUP($N88,選手情報!$A$6:$M$119,13,FALSE)),"","/"&amp;VLOOKUP($N88,選手情報!$A$6:$M$119,13,FALSE)),"")</f>
        <v/>
      </c>
      <c r="Z88" s="127" t="str">
        <f ca="1">IF(Y88&lt;&gt;"",IF(ISNA(VLOOKUP($N88,OFFSET(選手情報!$A$6:$BD$119,0,0),56,FALSE)),"",VLOOKUP($N88,OFFSET(選手情報!$A$6:$BD$119,0,0),56,FALSE)),"")</f>
        <v/>
      </c>
      <c r="AA88" s="127" t="str">
        <f ca="1">IF(Z88&lt;&gt;"",IF(ISNA(VLOOKUP($N88,OFFSET(選手情報!$A$6:$M$119,Z88,0),13,FALSE)),"","/"&amp;VLOOKUP($N88,OFFSET(選手情報!$A$6:$M$119,Z88,0),13,FALSE)),"")</f>
        <v/>
      </c>
      <c r="AB88" s="127" t="str">
        <f ca="1">IF(Z88&lt;&gt;"",IF(ISNA(VLOOKUP($N88,OFFSET(選手情報!$A$6:$BD$119,Z88,0),56,FALSE)),"",VLOOKUP($N88,OFFSET(選手情報!$A$6:$BD$119,Z88,0),56,FALSE)),"")</f>
        <v/>
      </c>
      <c r="AC88" s="127" t="str">
        <f ca="1">IF(AB88&lt;&gt;"",IF(ISNA(VLOOKUP($N88,OFFSET(選手情報!$A$6:$M$119,AB88,0),13,FALSE)),"","/"&amp;VLOOKUP($N88,OFFSET(選手情報!$A$6:$M$119,AB88,0),13,FALSE)),"")</f>
        <v/>
      </c>
      <c r="AD88" s="127" t="str">
        <f ca="1">IF(AB88&lt;&gt;"",IF(ISNA(VLOOKUP($N88,OFFSET(選手情報!$A$6:$BD$119,AB88,0),56,FALSE)),"",VLOOKUP($N88,OFFSET(選手情報!$A$6:$BD$119,AB88,0),56,FALSE)),"")</f>
        <v/>
      </c>
      <c r="AE88" s="127" t="str">
        <f ca="1">IF(AD88&lt;&gt;"",IF(ISNA(VLOOKUP($N88,OFFSET(選手情報!$A$6:$M$119,AD88,0),13,FALSE)),"","/"&amp;VLOOKUP($N88,OFFSET(選手情報!$A$6:$M$119,AD88,0),13,FALSE)),"")</f>
        <v/>
      </c>
      <c r="AF88" s="127" t="str">
        <f ca="1">IF(AD88&lt;&gt;"",IF(ISNA(VLOOKUP($N88,OFFSET(選手情報!$A$6:$BD$119,AD88,0),56,FALSE)),"",VLOOKUP($N88,OFFSET(選手情報!$A$6:$BD$119,AD88,0),56,FALSE)),"")</f>
        <v/>
      </c>
      <c r="AG88" s="127" t="str">
        <f ca="1">IF(AF88&lt;&gt;"",IF(ISNA(VLOOKUP($N88,OFFSET(選手情報!$A$6:$M$119,AF88,0),13,FALSE)),"","/"&amp;VLOOKUP($N88,OFFSET(選手情報!$A$6:$M$119,AF88,0),13,FALSE)),"")</f>
        <v/>
      </c>
      <c r="AH88" s="127" t="str">
        <f ca="1">IF(AF88&lt;&gt;"",IF(ISNA(VLOOKUP($N88,OFFSET(選手情報!$A$6:$BD$119,AF88,0),56,FALSE)),"",VLOOKUP($N88,OFFSET(選手情報!$A$6:$BD$119,AF88,0),56,FALSE)),"")</f>
        <v/>
      </c>
      <c r="AI88" s="127" t="str">
        <f ca="1">IF(AH88&lt;&gt;"",IF(ISNA(VLOOKUP($N88,OFFSET(選手情報!$A$6:$M$119,AH88,0),13,FALSE)),"","/"&amp;VLOOKUP($N88,OFFSET(選手情報!$A$6:$M$119,AH88,0),13,FALSE)),"")</f>
        <v/>
      </c>
      <c r="AJ88" s="127" t="str">
        <f ca="1">IF(AH88&lt;&gt;"",IF(ISNA(VLOOKUP($N88,OFFSET(選手情報!$A$6:$BD$119,AH88,0),56,FALSE)),"",VLOOKUP($N88,OFFSET(選手情報!$A$6:$BD$119,AH88,0),56,FALSE)),"")</f>
        <v/>
      </c>
      <c r="AK88" s="127" t="str">
        <f ca="1">IF(AJ88&lt;&gt;"",IF(ISNA(VLOOKUP($N88,OFFSET(選手情報!$A$6:$M$119,AJ88,0),13,FALSE)),"","/"&amp;VLOOKUP($N88,OFFSET(選手情報!$A$6:$M$119,AJ88,0),13,FALSE)),"")</f>
        <v/>
      </c>
      <c r="AL88" s="127" t="str">
        <f ca="1">IF(AJ88&lt;&gt;"",IF(ISNA(VLOOKUP($N88,OFFSET(選手情報!$A$6:$BD$119,AJ88,0),56,FALSE)),"",VLOOKUP($N88,OFFSET(選手情報!$A$6:$BD$119,AJ88,0),56,FALSE)),"")</f>
        <v/>
      </c>
      <c r="AM88" s="127" t="str">
        <f ca="1">IF(AL88&lt;&gt;"",IF(ISNA(VLOOKUP($N88,OFFSET(選手情報!$A$6:$M$119,AL88,0),13,FALSE)),"","/"&amp;VLOOKUP($N88,OFFSET(選手情報!$A$6:$M$119,AL88,0),13,FALSE)),"")</f>
        <v/>
      </c>
      <c r="AN88" s="127" t="str">
        <f ca="1">IF(AL88&lt;&gt;"",IF(ISNA(VLOOKUP($N88,OFFSET(選手情報!$A$6:$BD$119,AL88,0),56,FALSE)),"",VLOOKUP($N88,OFFSET(選手情報!$A$6:$BD$119,AL88,0),56,FALSE)),"")</f>
        <v/>
      </c>
      <c r="AO88" s="127" t="str">
        <f ca="1">IF(AN88&lt;&gt;"",IF(ISNA(VLOOKUP($N88,OFFSET(選手情報!$A$6:$M$119,AN88,0),13,FALSE)),"","/"&amp;VLOOKUP($N88,OFFSET(選手情報!$A$6:$M$119,AN88,0),13,FALSE)),"")</f>
        <v/>
      </c>
      <c r="AP88" s="127" t="str">
        <f ca="1">IF(AN88&lt;&gt;"",IF(ISNA(VLOOKUP($N88,OFFSET(選手情報!$A$6:$BD$119,AN88,0),56,FALSE)),"",VLOOKUP($N88,OFFSET(選手情報!$A$6:$BD$119,AN88,0),56,FALSE)),"")</f>
        <v/>
      </c>
      <c r="AQ88" s="127" t="str">
        <f ca="1">IF(AP88&lt;&gt;"",IF(ISNA(VLOOKUP($N88,OFFSET(選手情報!$A$6:$M$119,AP88,0),13,FALSE)),"","/"&amp;VLOOKUP($N88,OFFSET(選手情報!$A$6:$M$119,AP88,0),13,FALSE)),"")</f>
        <v/>
      </c>
      <c r="AR88" s="127" t="str">
        <f ca="1">IF(AP88&lt;&gt;"",IF(ISNA(VLOOKUP($N88,OFFSET(選手情報!$A$6:$BD$119,AP88,0),56,FALSE)),"",VLOOKUP($N88,OFFSET(選手情報!$A$6:$BD$119,AP88,0),56,FALSE)),"")</f>
        <v/>
      </c>
      <c r="AS88" s="127" t="str">
        <f ca="1">IF(AR88&lt;&gt;"",IF(ISNA(VLOOKUP($N88,OFFSET(選手情報!$A$6:$M$119,AR88,0),13,FALSE)),"","/"&amp;VLOOKUP($N88,OFFSET(選手情報!$A$6:$M$119,AR88,0),13,FALSE)),"")</f>
        <v/>
      </c>
      <c r="AT88" s="127" t="str">
        <f ca="1">IF(AR88&lt;&gt;"",IF(ISNA(VLOOKUP($N88,OFFSET(選手情報!$A$6:$BD$119,AR88,0),56,FALSE)),"",VLOOKUP($N88,OFFSET(選手情報!$A$6:$BD$119,AR88,0),56,FALSE)),"")</f>
        <v/>
      </c>
      <c r="AU88" s="127" t="str">
        <f ca="1">IF(AT88&lt;&gt;"",IF(ISNA(VLOOKUP($N88,OFFSET(選手情報!$A$6:$M$119,AT88,0),13,FALSE)),"","/"&amp;VLOOKUP($N88,OFFSET(選手情報!$A$6:$M$119,AT88,0),13,FALSE)),"")</f>
        <v/>
      </c>
      <c r="AV88" s="127" t="str">
        <f ca="1">IF(AT88&lt;&gt;"",IF(ISNA(VLOOKUP($N88,OFFSET(選手情報!$A$6:$BD$119,AT88,0),56,FALSE)),"",VLOOKUP($N88,OFFSET(選手情報!$A$6:$BD$119,AT88,0),56,FALSE)),"")</f>
        <v/>
      </c>
      <c r="AW88" s="127" t="str">
        <f ca="1">IF(AV88&lt;&gt;"",IF(ISNA(VLOOKUP($N88,OFFSET(選手情報!$A$6:$M$119,AV88,0),13,FALSE)),"","/"&amp;VLOOKUP($N88,OFFSET(選手情報!$A$6:$M$119,AV88,0),13,FALSE)),"")</f>
        <v/>
      </c>
      <c r="AX88" s="127" t="str">
        <f ca="1">IF(AV88&lt;&gt;"",IF(ISNA(VLOOKUP($N88,OFFSET(選手情報!$A$6:$BD$119,AV88,0),56,FALSE)),"",VLOOKUP($N88,OFFSET(選手情報!$A$6:$BD$119,AV88,0),56,FALSE)),"")</f>
        <v/>
      </c>
      <c r="AY88" s="127" t="str">
        <f ca="1">IF(AX88&lt;&gt;"",IF(ISNA(VLOOKUP($N88,OFFSET(選手情報!$A$6:$M$119,AX88,0),13,FALSE)),"","/"&amp;VLOOKUP($N88,OFFSET(選手情報!$A$6:$M$119,AX88,0),13,FALSE)),"")</f>
        <v/>
      </c>
      <c r="AZ88" s="127" t="str">
        <f ca="1">IF(AX88&lt;&gt;"",IF(ISNA(VLOOKUP($N88,OFFSET(選手情報!$A$6:$BD$119,AX88,0),56,FALSE)),"",VLOOKUP($N88,OFFSET(選手情報!$A$6:$BD$119,AX88,0),56,FALSE)),"")</f>
        <v/>
      </c>
      <c r="BA88" s="127" t="str">
        <f ca="1">IF(AZ88&lt;&gt;"",IF(ISNA(VLOOKUP($N88,OFFSET(選手情報!$A$6:$M$119,AZ88,0),13,FALSE)),"","/"&amp;VLOOKUP($N88,OFFSET(選手情報!$A$6:$M$119,AZ88,0),13,FALSE)),"")</f>
        <v/>
      </c>
      <c r="BB88" s="127" t="str">
        <f ca="1">IF(AZ88&lt;&gt;"",IF(ISNA(VLOOKUP($N88,OFFSET(選手情報!$A$6:$BD$119,AZ88,0),56,FALSE)),"",VLOOKUP($N88,OFFSET(選手情報!$A$6:$BD$119,AZ88,0),56,FALSE)),"")</f>
        <v/>
      </c>
      <c r="BC88" s="127" t="str">
        <f ca="1">IF(BB88&lt;&gt;"",IF(ISNA(VLOOKUP($N88,OFFSET(選手情報!$A$6:$M$119,BB88,0),13,FALSE)),"","/"&amp;VLOOKUP($N88,OFFSET(選手情報!$A$6:$M$119,BB88,0),13,FALSE)),"")</f>
        <v/>
      </c>
      <c r="BD88" s="127" t="str">
        <f ca="1">IF(BB88&lt;&gt;"",IF(ISNA(VLOOKUP($N88,OFFSET(選手情報!$A$6:$BD$119,BB88,0),56,FALSE)),"",VLOOKUP($N88,OFFSET(選手情報!$A$6:$BD$119,BB88,0),56,FALSE)),"")</f>
        <v/>
      </c>
      <c r="BE88" s="127" t="str">
        <f ca="1">IF(BD88&lt;&gt;"",IF(ISNA(VLOOKUP($N88,OFFSET(選手情報!$A$6:$M$119,BD88,0),13,FALSE)),"","/"&amp;VLOOKUP($N88,OFFSET(選手情報!$A$6:$M$119,BD88,0),13,FALSE)),"")</f>
        <v/>
      </c>
      <c r="BF88" s="127" t="str">
        <f ca="1">IF(BD88&lt;&gt;"",IF(ISNA(VLOOKUP($N88,OFFSET(選手情報!$A$6:$BD$119,BD88,0),56,FALSE)),"",VLOOKUP($N88,OFFSET(選手情報!$A$6:$BD$119,BD88,0),56,FALSE)),"")</f>
        <v/>
      </c>
      <c r="BG88" s="127" t="str">
        <f ca="1">IF(BF88&lt;&gt;"",IF(ISNA(VLOOKUP($N88,OFFSET(選手情報!$A$6:$M$119,BF88,0),13,FALSE)),"","/"&amp;VLOOKUP($N88,OFFSET(選手情報!$A$6:$M$119,BF88,0),13,FALSE)),"")</f>
        <v/>
      </c>
      <c r="BH88" s="127" t="str">
        <f ca="1">IF(BF88&lt;&gt;"",IF(ISNA(VLOOKUP($N88,OFFSET(選手情報!$A$6:$BD$119,BF88,0),56,FALSE)),"",VLOOKUP($N88,OFFSET(選手情報!$A$6:$BD$119,BF88,0),56,FALSE)),"")</f>
        <v/>
      </c>
      <c r="BI88" s="127" t="str">
        <f ca="1">IF(BH88&lt;&gt;"",IF(ISNA(VLOOKUP($N88,OFFSET(選手情報!$A$6:$M$119,BH88,0),13,FALSE)),"","/"&amp;VLOOKUP($N88,OFFSET(選手情報!$A$6:$M$119,BH88,0),13,FALSE)),"")</f>
        <v/>
      </c>
    </row>
    <row r="89" spans="1:61" s="127" customFormat="1" ht="12.6" customHeight="1">
      <c r="A89" s="128" t="str">
        <f>IF(ISNA(VLOOKUP($C$2&amp;N89,選手データ!A:H,3,FALSE)),"",IF(M89&lt;&gt;M88,VLOOKUP($C$2&amp;N89,選手データ!A:H,3,FALSE),""))</f>
        <v/>
      </c>
      <c r="B89" s="129" t="str">
        <f>IF(A89&lt;&gt;"",VLOOKUP($C$2&amp;N89,選手データ!A:H,4,FALSE),"")</f>
        <v/>
      </c>
      <c r="C89" s="129" t="str">
        <f>IF(A89&lt;&gt;"",VLOOKUP($C$2&amp;N89,選手データ!A:H,5,FALSE),"")</f>
        <v/>
      </c>
      <c r="D89" s="129" t="str">
        <f>IF(A89&lt;&gt;"",VLOOKUP($C$2&amp;N89,選手データ!A:H,6,FALSE),"")</f>
        <v/>
      </c>
      <c r="E89" s="129" t="str">
        <f>IF(A89&lt;&gt;"",VLOOKUP($C$2&amp;N89,選手データ!A:H,7,FALSE),"")</f>
        <v/>
      </c>
      <c r="F89" s="130" t="str">
        <f>IF(A89&lt;&gt;"",VLOOKUP($C$2&amp;N89,選手データ!A:H,8,FALSE),"")</f>
        <v/>
      </c>
      <c r="G89" s="130" t="str">
        <f>IF(F89&lt;&gt;"",IF(DATEDIF(F89,設定!$B$12,"Y")&lt;20,"〇",""),"")</f>
        <v/>
      </c>
      <c r="H89" s="131" t="str">
        <f t="shared" ca="1" si="0"/>
        <v/>
      </c>
      <c r="I89" s="132" t="str">
        <f t="shared" ca="1" si="1"/>
        <v/>
      </c>
      <c r="J89" s="131" t="str">
        <f t="shared" ca="1" si="2"/>
        <v/>
      </c>
      <c r="K89" s="130" t="str">
        <f>IF(A89&lt;&gt;"",IF(COUNTIF(リレーチーム情報!$B$5:$B$10,A89&amp;E89)=1,"〇",""),"")</f>
        <v/>
      </c>
      <c r="L89" s="133" t="str">
        <f>IF(A89&lt;&gt;"",IF(COUNTIF(リレーチーム情報!$B$11:$B$16,A89&amp;E89)=1,"〇",""),"")</f>
        <v/>
      </c>
      <c r="M89" s="127">
        <f>IF(学校情報!$A$4&lt;&gt;"",0,IF(S88=0,MAX($M$37:M88)+1,M88))</f>
        <v>0</v>
      </c>
      <c r="N89" s="127" t="str">
        <f>IF(M89&lt;&gt;0,VLOOKUP(M89,選手情報!BF:BG,2,FALSE),"")</f>
        <v/>
      </c>
      <c r="O89" s="127" t="str">
        <f ca="1">IF(M89&lt;&gt;0,VLOOKUP(N89,OFFSET(選手情報!$A$6:$W$119,IF(M89&lt;&gt;M88,0,R88),0),13,FALSE),"")</f>
        <v/>
      </c>
      <c r="P89" s="127" t="str">
        <f ca="1">IF(M89&lt;&gt;0,VLOOKUP(N89,OFFSET(選手情報!$A$6:$W$119,IF(M89&lt;&gt;M88,0,R88),0),16,FALSE),"")</f>
        <v/>
      </c>
      <c r="Q89" s="127" t="str">
        <f ca="1">IF(M89&lt;&gt;0,VLOOKUP(N89,OFFSET(選手情報!$A$6:$W$119,IF(M89&lt;&gt;M88,0,R88),0),21,FALSE),"")</f>
        <v/>
      </c>
      <c r="R89" s="127">
        <f ca="1">IF(M89&lt;&gt;0,VLOOKUP(N89,OFFSET(選手情報!$A$6:$BD$119,IF(M89&lt;&gt;M88,0,R88),0),56,FALSE),0)</f>
        <v>0</v>
      </c>
      <c r="S89" s="127">
        <f ca="1">IF(M89&lt;&gt;0,IF(ISNA(R89),0,COUNTIF(OFFSET(選手情報!$A$6:$A$119,R89,0),N89)),0)</f>
        <v>0</v>
      </c>
      <c r="U89" s="127">
        <f t="shared" si="3"/>
        <v>0</v>
      </c>
      <c r="V89" s="127">
        <f t="shared" ca="1" si="4"/>
        <v>1</v>
      </c>
      <c r="W89" s="127">
        <f t="shared" ca="1" si="5"/>
        <v>0</v>
      </c>
      <c r="X89" s="127" t="str">
        <f t="shared" ca="1" si="6"/>
        <v/>
      </c>
      <c r="Y89" s="127" t="str">
        <f>IF($A89&lt;&gt;"",IF(ISNA(VLOOKUP($N89,選手情報!$A$6:$M$119,13,FALSE)),"","/"&amp;VLOOKUP($N89,選手情報!$A$6:$M$119,13,FALSE)),"")</f>
        <v/>
      </c>
      <c r="Z89" s="127" t="str">
        <f ca="1">IF(Y89&lt;&gt;"",IF(ISNA(VLOOKUP($N89,OFFSET(選手情報!$A$6:$BD$119,0,0),56,FALSE)),"",VLOOKUP($N89,OFFSET(選手情報!$A$6:$BD$119,0,0),56,FALSE)),"")</f>
        <v/>
      </c>
      <c r="AA89" s="127" t="str">
        <f ca="1">IF(Z89&lt;&gt;"",IF(ISNA(VLOOKUP($N89,OFFSET(選手情報!$A$6:$M$119,Z89,0),13,FALSE)),"","/"&amp;VLOOKUP($N89,OFFSET(選手情報!$A$6:$M$119,Z89,0),13,FALSE)),"")</f>
        <v/>
      </c>
      <c r="AB89" s="127" t="str">
        <f ca="1">IF(Z89&lt;&gt;"",IF(ISNA(VLOOKUP($N89,OFFSET(選手情報!$A$6:$BD$119,Z89,0),56,FALSE)),"",VLOOKUP($N89,OFFSET(選手情報!$A$6:$BD$119,Z89,0),56,FALSE)),"")</f>
        <v/>
      </c>
      <c r="AC89" s="127" t="str">
        <f ca="1">IF(AB89&lt;&gt;"",IF(ISNA(VLOOKUP($N89,OFFSET(選手情報!$A$6:$M$119,AB89,0),13,FALSE)),"","/"&amp;VLOOKUP($N89,OFFSET(選手情報!$A$6:$M$119,AB89,0),13,FALSE)),"")</f>
        <v/>
      </c>
      <c r="AD89" s="127" t="str">
        <f ca="1">IF(AB89&lt;&gt;"",IF(ISNA(VLOOKUP($N89,OFFSET(選手情報!$A$6:$BD$119,AB89,0),56,FALSE)),"",VLOOKUP($N89,OFFSET(選手情報!$A$6:$BD$119,AB89,0),56,FALSE)),"")</f>
        <v/>
      </c>
      <c r="AE89" s="127" t="str">
        <f ca="1">IF(AD89&lt;&gt;"",IF(ISNA(VLOOKUP($N89,OFFSET(選手情報!$A$6:$M$119,AD89,0),13,FALSE)),"","/"&amp;VLOOKUP($N89,OFFSET(選手情報!$A$6:$M$119,AD89,0),13,FALSE)),"")</f>
        <v/>
      </c>
      <c r="AF89" s="127" t="str">
        <f ca="1">IF(AD89&lt;&gt;"",IF(ISNA(VLOOKUP($N89,OFFSET(選手情報!$A$6:$BD$119,AD89,0),56,FALSE)),"",VLOOKUP($N89,OFFSET(選手情報!$A$6:$BD$119,AD89,0),56,FALSE)),"")</f>
        <v/>
      </c>
      <c r="AG89" s="127" t="str">
        <f ca="1">IF(AF89&lt;&gt;"",IF(ISNA(VLOOKUP($N89,OFFSET(選手情報!$A$6:$M$119,AF89,0),13,FALSE)),"","/"&amp;VLOOKUP($N89,OFFSET(選手情報!$A$6:$M$119,AF89,0),13,FALSE)),"")</f>
        <v/>
      </c>
      <c r="AH89" s="127" t="str">
        <f ca="1">IF(AF89&lt;&gt;"",IF(ISNA(VLOOKUP($N89,OFFSET(選手情報!$A$6:$BD$119,AF89,0),56,FALSE)),"",VLOOKUP($N89,OFFSET(選手情報!$A$6:$BD$119,AF89,0),56,FALSE)),"")</f>
        <v/>
      </c>
      <c r="AI89" s="127" t="str">
        <f ca="1">IF(AH89&lt;&gt;"",IF(ISNA(VLOOKUP($N89,OFFSET(選手情報!$A$6:$M$119,AH89,0),13,FALSE)),"","/"&amp;VLOOKUP($N89,OFFSET(選手情報!$A$6:$M$119,AH89,0),13,FALSE)),"")</f>
        <v/>
      </c>
      <c r="AJ89" s="127" t="str">
        <f ca="1">IF(AH89&lt;&gt;"",IF(ISNA(VLOOKUP($N89,OFFSET(選手情報!$A$6:$BD$119,AH89,0),56,FALSE)),"",VLOOKUP($N89,OFFSET(選手情報!$A$6:$BD$119,AH89,0),56,FALSE)),"")</f>
        <v/>
      </c>
      <c r="AK89" s="127" t="str">
        <f ca="1">IF(AJ89&lt;&gt;"",IF(ISNA(VLOOKUP($N89,OFFSET(選手情報!$A$6:$M$119,AJ89,0),13,FALSE)),"","/"&amp;VLOOKUP($N89,OFFSET(選手情報!$A$6:$M$119,AJ89,0),13,FALSE)),"")</f>
        <v/>
      </c>
      <c r="AL89" s="127" t="str">
        <f ca="1">IF(AJ89&lt;&gt;"",IF(ISNA(VLOOKUP($N89,OFFSET(選手情報!$A$6:$BD$119,AJ89,0),56,FALSE)),"",VLOOKUP($N89,OFFSET(選手情報!$A$6:$BD$119,AJ89,0),56,FALSE)),"")</f>
        <v/>
      </c>
      <c r="AM89" s="127" t="str">
        <f ca="1">IF(AL89&lt;&gt;"",IF(ISNA(VLOOKUP($N89,OFFSET(選手情報!$A$6:$M$119,AL89,0),13,FALSE)),"","/"&amp;VLOOKUP($N89,OFFSET(選手情報!$A$6:$M$119,AL89,0),13,FALSE)),"")</f>
        <v/>
      </c>
      <c r="AN89" s="127" t="str">
        <f ca="1">IF(AL89&lt;&gt;"",IF(ISNA(VLOOKUP($N89,OFFSET(選手情報!$A$6:$BD$119,AL89,0),56,FALSE)),"",VLOOKUP($N89,OFFSET(選手情報!$A$6:$BD$119,AL89,0),56,FALSE)),"")</f>
        <v/>
      </c>
      <c r="AO89" s="127" t="str">
        <f ca="1">IF(AN89&lt;&gt;"",IF(ISNA(VLOOKUP($N89,OFFSET(選手情報!$A$6:$M$119,AN89,0),13,FALSE)),"","/"&amp;VLOOKUP($N89,OFFSET(選手情報!$A$6:$M$119,AN89,0),13,FALSE)),"")</f>
        <v/>
      </c>
      <c r="AP89" s="127" t="str">
        <f ca="1">IF(AN89&lt;&gt;"",IF(ISNA(VLOOKUP($N89,OFFSET(選手情報!$A$6:$BD$119,AN89,0),56,FALSE)),"",VLOOKUP($N89,OFFSET(選手情報!$A$6:$BD$119,AN89,0),56,FALSE)),"")</f>
        <v/>
      </c>
      <c r="AQ89" s="127" t="str">
        <f ca="1">IF(AP89&lt;&gt;"",IF(ISNA(VLOOKUP($N89,OFFSET(選手情報!$A$6:$M$119,AP89,0),13,FALSE)),"","/"&amp;VLOOKUP($N89,OFFSET(選手情報!$A$6:$M$119,AP89,0),13,FALSE)),"")</f>
        <v/>
      </c>
      <c r="AR89" s="127" t="str">
        <f ca="1">IF(AP89&lt;&gt;"",IF(ISNA(VLOOKUP($N89,OFFSET(選手情報!$A$6:$BD$119,AP89,0),56,FALSE)),"",VLOOKUP($N89,OFFSET(選手情報!$A$6:$BD$119,AP89,0),56,FALSE)),"")</f>
        <v/>
      </c>
      <c r="AS89" s="127" t="str">
        <f ca="1">IF(AR89&lt;&gt;"",IF(ISNA(VLOOKUP($N89,OFFSET(選手情報!$A$6:$M$119,AR89,0),13,FALSE)),"","/"&amp;VLOOKUP($N89,OFFSET(選手情報!$A$6:$M$119,AR89,0),13,FALSE)),"")</f>
        <v/>
      </c>
      <c r="AT89" s="127" t="str">
        <f ca="1">IF(AR89&lt;&gt;"",IF(ISNA(VLOOKUP($N89,OFFSET(選手情報!$A$6:$BD$119,AR89,0),56,FALSE)),"",VLOOKUP($N89,OFFSET(選手情報!$A$6:$BD$119,AR89,0),56,FALSE)),"")</f>
        <v/>
      </c>
      <c r="AU89" s="127" t="str">
        <f ca="1">IF(AT89&lt;&gt;"",IF(ISNA(VLOOKUP($N89,OFFSET(選手情報!$A$6:$M$119,AT89,0),13,FALSE)),"","/"&amp;VLOOKUP($N89,OFFSET(選手情報!$A$6:$M$119,AT89,0),13,FALSE)),"")</f>
        <v/>
      </c>
      <c r="AV89" s="127" t="str">
        <f ca="1">IF(AT89&lt;&gt;"",IF(ISNA(VLOOKUP($N89,OFFSET(選手情報!$A$6:$BD$119,AT89,0),56,FALSE)),"",VLOOKUP($N89,OFFSET(選手情報!$A$6:$BD$119,AT89,0),56,FALSE)),"")</f>
        <v/>
      </c>
      <c r="AW89" s="127" t="str">
        <f ca="1">IF(AV89&lt;&gt;"",IF(ISNA(VLOOKUP($N89,OFFSET(選手情報!$A$6:$M$119,AV89,0),13,FALSE)),"","/"&amp;VLOOKUP($N89,OFFSET(選手情報!$A$6:$M$119,AV89,0),13,FALSE)),"")</f>
        <v/>
      </c>
      <c r="AX89" s="127" t="str">
        <f ca="1">IF(AV89&lt;&gt;"",IF(ISNA(VLOOKUP($N89,OFFSET(選手情報!$A$6:$BD$119,AV89,0),56,FALSE)),"",VLOOKUP($N89,OFFSET(選手情報!$A$6:$BD$119,AV89,0),56,FALSE)),"")</f>
        <v/>
      </c>
      <c r="AY89" s="127" t="str">
        <f ca="1">IF(AX89&lt;&gt;"",IF(ISNA(VLOOKUP($N89,OFFSET(選手情報!$A$6:$M$119,AX89,0),13,FALSE)),"","/"&amp;VLOOKUP($N89,OFFSET(選手情報!$A$6:$M$119,AX89,0),13,FALSE)),"")</f>
        <v/>
      </c>
      <c r="AZ89" s="127" t="str">
        <f ca="1">IF(AX89&lt;&gt;"",IF(ISNA(VLOOKUP($N89,OFFSET(選手情報!$A$6:$BD$119,AX89,0),56,FALSE)),"",VLOOKUP($N89,OFFSET(選手情報!$A$6:$BD$119,AX89,0),56,FALSE)),"")</f>
        <v/>
      </c>
      <c r="BA89" s="127" t="str">
        <f ca="1">IF(AZ89&lt;&gt;"",IF(ISNA(VLOOKUP($N89,OFFSET(選手情報!$A$6:$M$119,AZ89,0),13,FALSE)),"","/"&amp;VLOOKUP($N89,OFFSET(選手情報!$A$6:$M$119,AZ89,0),13,FALSE)),"")</f>
        <v/>
      </c>
      <c r="BB89" s="127" t="str">
        <f ca="1">IF(AZ89&lt;&gt;"",IF(ISNA(VLOOKUP($N89,OFFSET(選手情報!$A$6:$BD$119,AZ89,0),56,FALSE)),"",VLOOKUP($N89,OFFSET(選手情報!$A$6:$BD$119,AZ89,0),56,FALSE)),"")</f>
        <v/>
      </c>
      <c r="BC89" s="127" t="str">
        <f ca="1">IF(BB89&lt;&gt;"",IF(ISNA(VLOOKUP($N89,OFFSET(選手情報!$A$6:$M$119,BB89,0),13,FALSE)),"","/"&amp;VLOOKUP($N89,OFFSET(選手情報!$A$6:$M$119,BB89,0),13,FALSE)),"")</f>
        <v/>
      </c>
      <c r="BD89" s="127" t="str">
        <f ca="1">IF(BB89&lt;&gt;"",IF(ISNA(VLOOKUP($N89,OFFSET(選手情報!$A$6:$BD$119,BB89,0),56,FALSE)),"",VLOOKUP($N89,OFFSET(選手情報!$A$6:$BD$119,BB89,0),56,FALSE)),"")</f>
        <v/>
      </c>
      <c r="BE89" s="127" t="str">
        <f ca="1">IF(BD89&lt;&gt;"",IF(ISNA(VLOOKUP($N89,OFFSET(選手情報!$A$6:$M$119,BD89,0),13,FALSE)),"","/"&amp;VLOOKUP($N89,OFFSET(選手情報!$A$6:$M$119,BD89,0),13,FALSE)),"")</f>
        <v/>
      </c>
      <c r="BF89" s="127" t="str">
        <f ca="1">IF(BD89&lt;&gt;"",IF(ISNA(VLOOKUP($N89,OFFSET(選手情報!$A$6:$BD$119,BD89,0),56,FALSE)),"",VLOOKUP($N89,OFFSET(選手情報!$A$6:$BD$119,BD89,0),56,FALSE)),"")</f>
        <v/>
      </c>
      <c r="BG89" s="127" t="str">
        <f ca="1">IF(BF89&lt;&gt;"",IF(ISNA(VLOOKUP($N89,OFFSET(選手情報!$A$6:$M$119,BF89,0),13,FALSE)),"","/"&amp;VLOOKUP($N89,OFFSET(選手情報!$A$6:$M$119,BF89,0),13,FALSE)),"")</f>
        <v/>
      </c>
      <c r="BH89" s="127" t="str">
        <f ca="1">IF(BF89&lt;&gt;"",IF(ISNA(VLOOKUP($N89,OFFSET(選手情報!$A$6:$BD$119,BF89,0),56,FALSE)),"",VLOOKUP($N89,OFFSET(選手情報!$A$6:$BD$119,BF89,0),56,FALSE)),"")</f>
        <v/>
      </c>
      <c r="BI89" s="127" t="str">
        <f ca="1">IF(BH89&lt;&gt;"",IF(ISNA(VLOOKUP($N89,OFFSET(選手情報!$A$6:$M$119,BH89,0),13,FALSE)),"","/"&amp;VLOOKUP($N89,OFFSET(選手情報!$A$6:$M$119,BH89,0),13,FALSE)),"")</f>
        <v/>
      </c>
    </row>
    <row r="90" spans="1:61" s="127" customFormat="1" ht="12.6" customHeight="1">
      <c r="A90" s="128" t="str">
        <f>IF(ISNA(VLOOKUP($C$2&amp;N90,選手データ!A:H,3,FALSE)),"",IF(M90&lt;&gt;M89,VLOOKUP($C$2&amp;N90,選手データ!A:H,3,FALSE),""))</f>
        <v/>
      </c>
      <c r="B90" s="129" t="str">
        <f>IF(A90&lt;&gt;"",VLOOKUP($C$2&amp;N90,選手データ!A:H,4,FALSE),"")</f>
        <v/>
      </c>
      <c r="C90" s="129" t="str">
        <f>IF(A90&lt;&gt;"",VLOOKUP($C$2&amp;N90,選手データ!A:H,5,FALSE),"")</f>
        <v/>
      </c>
      <c r="D90" s="129" t="str">
        <f>IF(A90&lt;&gt;"",VLOOKUP($C$2&amp;N90,選手データ!A:H,6,FALSE),"")</f>
        <v/>
      </c>
      <c r="E90" s="129" t="str">
        <f>IF(A90&lt;&gt;"",VLOOKUP($C$2&amp;N90,選手データ!A:H,7,FALSE),"")</f>
        <v/>
      </c>
      <c r="F90" s="130" t="str">
        <f>IF(A90&lt;&gt;"",VLOOKUP($C$2&amp;N90,選手データ!A:H,8,FALSE),"")</f>
        <v/>
      </c>
      <c r="G90" s="130" t="str">
        <f>IF(F90&lt;&gt;"",IF(DATEDIF(F90,設定!$B$12,"Y")&lt;20,"〇",""),"")</f>
        <v/>
      </c>
      <c r="H90" s="131" t="str">
        <f t="shared" ca="1" si="0"/>
        <v/>
      </c>
      <c r="I90" s="132" t="str">
        <f t="shared" ca="1" si="1"/>
        <v/>
      </c>
      <c r="J90" s="131" t="str">
        <f t="shared" ca="1" si="2"/>
        <v/>
      </c>
      <c r="K90" s="130" t="str">
        <f>IF(A90&lt;&gt;"",IF(COUNTIF(リレーチーム情報!$B$5:$B$10,A90&amp;E90)=1,"〇",""),"")</f>
        <v/>
      </c>
      <c r="L90" s="133" t="str">
        <f>IF(A90&lt;&gt;"",IF(COUNTIF(リレーチーム情報!$B$11:$B$16,A90&amp;E90)=1,"〇",""),"")</f>
        <v/>
      </c>
      <c r="M90" s="127">
        <f>IF(学校情報!$A$4&lt;&gt;"",0,IF(S89=0,MAX($M$37:M89)+1,M89))</f>
        <v>0</v>
      </c>
      <c r="N90" s="127" t="str">
        <f>IF(M90&lt;&gt;0,VLOOKUP(M90,選手情報!BF:BG,2,FALSE),"")</f>
        <v/>
      </c>
      <c r="O90" s="127" t="str">
        <f ca="1">IF(M90&lt;&gt;0,VLOOKUP(N90,OFFSET(選手情報!$A$6:$W$119,IF(M90&lt;&gt;M89,0,R89),0),13,FALSE),"")</f>
        <v/>
      </c>
      <c r="P90" s="127" t="str">
        <f ca="1">IF(M90&lt;&gt;0,VLOOKUP(N90,OFFSET(選手情報!$A$6:$W$119,IF(M90&lt;&gt;M89,0,R89),0),16,FALSE),"")</f>
        <v/>
      </c>
      <c r="Q90" s="127" t="str">
        <f ca="1">IF(M90&lt;&gt;0,VLOOKUP(N90,OFFSET(選手情報!$A$6:$W$119,IF(M90&lt;&gt;M89,0,R89),0),21,FALSE),"")</f>
        <v/>
      </c>
      <c r="R90" s="127">
        <f ca="1">IF(M90&lt;&gt;0,VLOOKUP(N90,OFFSET(選手情報!$A$6:$BD$119,IF(M90&lt;&gt;M89,0,R89),0),56,FALSE),0)</f>
        <v>0</v>
      </c>
      <c r="S90" s="127">
        <f ca="1">IF(M90&lt;&gt;0,IF(ISNA(R90),0,COUNTIF(OFFSET(選手情報!$A$6:$A$119,R90,0),N90)),0)</f>
        <v>0</v>
      </c>
      <c r="U90" s="127">
        <f t="shared" si="3"/>
        <v>0</v>
      </c>
      <c r="V90" s="127">
        <f t="shared" ca="1" si="4"/>
        <v>1</v>
      </c>
      <c r="W90" s="127">
        <f t="shared" ca="1" si="5"/>
        <v>0</v>
      </c>
      <c r="X90" s="127" t="str">
        <f t="shared" ca="1" si="6"/>
        <v/>
      </c>
      <c r="Y90" s="127" t="str">
        <f>IF($A90&lt;&gt;"",IF(ISNA(VLOOKUP($N90,選手情報!$A$6:$M$119,13,FALSE)),"","/"&amp;VLOOKUP($N90,選手情報!$A$6:$M$119,13,FALSE)),"")</f>
        <v/>
      </c>
      <c r="Z90" s="127" t="str">
        <f ca="1">IF(Y90&lt;&gt;"",IF(ISNA(VLOOKUP($N90,OFFSET(選手情報!$A$6:$BD$119,0,0),56,FALSE)),"",VLOOKUP($N90,OFFSET(選手情報!$A$6:$BD$119,0,0),56,FALSE)),"")</f>
        <v/>
      </c>
      <c r="AA90" s="127" t="str">
        <f ca="1">IF(Z90&lt;&gt;"",IF(ISNA(VLOOKUP($N90,OFFSET(選手情報!$A$6:$M$119,Z90,0),13,FALSE)),"","/"&amp;VLOOKUP($N90,OFFSET(選手情報!$A$6:$M$119,Z90,0),13,FALSE)),"")</f>
        <v/>
      </c>
      <c r="AB90" s="127" t="str">
        <f ca="1">IF(Z90&lt;&gt;"",IF(ISNA(VLOOKUP($N90,OFFSET(選手情報!$A$6:$BD$119,Z90,0),56,FALSE)),"",VLOOKUP($N90,OFFSET(選手情報!$A$6:$BD$119,Z90,0),56,FALSE)),"")</f>
        <v/>
      </c>
      <c r="AC90" s="127" t="str">
        <f ca="1">IF(AB90&lt;&gt;"",IF(ISNA(VLOOKUP($N90,OFFSET(選手情報!$A$6:$M$119,AB90,0),13,FALSE)),"","/"&amp;VLOOKUP($N90,OFFSET(選手情報!$A$6:$M$119,AB90,0),13,FALSE)),"")</f>
        <v/>
      </c>
      <c r="AD90" s="127" t="str">
        <f ca="1">IF(AB90&lt;&gt;"",IF(ISNA(VLOOKUP($N90,OFFSET(選手情報!$A$6:$BD$119,AB90,0),56,FALSE)),"",VLOOKUP($N90,OFFSET(選手情報!$A$6:$BD$119,AB90,0),56,FALSE)),"")</f>
        <v/>
      </c>
      <c r="AE90" s="127" t="str">
        <f ca="1">IF(AD90&lt;&gt;"",IF(ISNA(VLOOKUP($N90,OFFSET(選手情報!$A$6:$M$119,AD90,0),13,FALSE)),"","/"&amp;VLOOKUP($N90,OFFSET(選手情報!$A$6:$M$119,AD90,0),13,FALSE)),"")</f>
        <v/>
      </c>
      <c r="AF90" s="127" t="str">
        <f ca="1">IF(AD90&lt;&gt;"",IF(ISNA(VLOOKUP($N90,OFFSET(選手情報!$A$6:$BD$119,AD90,0),56,FALSE)),"",VLOOKUP($N90,OFFSET(選手情報!$A$6:$BD$119,AD90,0),56,FALSE)),"")</f>
        <v/>
      </c>
      <c r="AG90" s="127" t="str">
        <f ca="1">IF(AF90&lt;&gt;"",IF(ISNA(VLOOKUP($N90,OFFSET(選手情報!$A$6:$M$119,AF90,0),13,FALSE)),"","/"&amp;VLOOKUP($N90,OFFSET(選手情報!$A$6:$M$119,AF90,0),13,FALSE)),"")</f>
        <v/>
      </c>
      <c r="AH90" s="127" t="str">
        <f ca="1">IF(AF90&lt;&gt;"",IF(ISNA(VLOOKUP($N90,OFFSET(選手情報!$A$6:$BD$119,AF90,0),56,FALSE)),"",VLOOKUP($N90,OFFSET(選手情報!$A$6:$BD$119,AF90,0),56,FALSE)),"")</f>
        <v/>
      </c>
      <c r="AI90" s="127" t="str">
        <f ca="1">IF(AH90&lt;&gt;"",IF(ISNA(VLOOKUP($N90,OFFSET(選手情報!$A$6:$M$119,AH90,0),13,FALSE)),"","/"&amp;VLOOKUP($N90,OFFSET(選手情報!$A$6:$M$119,AH90,0),13,FALSE)),"")</f>
        <v/>
      </c>
      <c r="AJ90" s="127" t="str">
        <f ca="1">IF(AH90&lt;&gt;"",IF(ISNA(VLOOKUP($N90,OFFSET(選手情報!$A$6:$BD$119,AH90,0),56,FALSE)),"",VLOOKUP($N90,OFFSET(選手情報!$A$6:$BD$119,AH90,0),56,FALSE)),"")</f>
        <v/>
      </c>
      <c r="AK90" s="127" t="str">
        <f ca="1">IF(AJ90&lt;&gt;"",IF(ISNA(VLOOKUP($N90,OFFSET(選手情報!$A$6:$M$119,AJ90,0),13,FALSE)),"","/"&amp;VLOOKUP($N90,OFFSET(選手情報!$A$6:$M$119,AJ90,0),13,FALSE)),"")</f>
        <v/>
      </c>
      <c r="AL90" s="127" t="str">
        <f ca="1">IF(AJ90&lt;&gt;"",IF(ISNA(VLOOKUP($N90,OFFSET(選手情報!$A$6:$BD$119,AJ90,0),56,FALSE)),"",VLOOKUP($N90,OFFSET(選手情報!$A$6:$BD$119,AJ90,0),56,FALSE)),"")</f>
        <v/>
      </c>
      <c r="AM90" s="127" t="str">
        <f ca="1">IF(AL90&lt;&gt;"",IF(ISNA(VLOOKUP($N90,OFFSET(選手情報!$A$6:$M$119,AL90,0),13,FALSE)),"","/"&amp;VLOOKUP($N90,OFFSET(選手情報!$A$6:$M$119,AL90,0),13,FALSE)),"")</f>
        <v/>
      </c>
      <c r="AN90" s="127" t="str">
        <f ca="1">IF(AL90&lt;&gt;"",IF(ISNA(VLOOKUP($N90,OFFSET(選手情報!$A$6:$BD$119,AL90,0),56,FALSE)),"",VLOOKUP($N90,OFFSET(選手情報!$A$6:$BD$119,AL90,0),56,FALSE)),"")</f>
        <v/>
      </c>
      <c r="AO90" s="127" t="str">
        <f ca="1">IF(AN90&lt;&gt;"",IF(ISNA(VLOOKUP($N90,OFFSET(選手情報!$A$6:$M$119,AN90,0),13,FALSE)),"","/"&amp;VLOOKUP($N90,OFFSET(選手情報!$A$6:$M$119,AN90,0),13,FALSE)),"")</f>
        <v/>
      </c>
      <c r="AP90" s="127" t="str">
        <f ca="1">IF(AN90&lt;&gt;"",IF(ISNA(VLOOKUP($N90,OFFSET(選手情報!$A$6:$BD$119,AN90,0),56,FALSE)),"",VLOOKUP($N90,OFFSET(選手情報!$A$6:$BD$119,AN90,0),56,FALSE)),"")</f>
        <v/>
      </c>
      <c r="AQ90" s="127" t="str">
        <f ca="1">IF(AP90&lt;&gt;"",IF(ISNA(VLOOKUP($N90,OFFSET(選手情報!$A$6:$M$119,AP90,0),13,FALSE)),"","/"&amp;VLOOKUP($N90,OFFSET(選手情報!$A$6:$M$119,AP90,0),13,FALSE)),"")</f>
        <v/>
      </c>
      <c r="AR90" s="127" t="str">
        <f ca="1">IF(AP90&lt;&gt;"",IF(ISNA(VLOOKUP($N90,OFFSET(選手情報!$A$6:$BD$119,AP90,0),56,FALSE)),"",VLOOKUP($N90,OFFSET(選手情報!$A$6:$BD$119,AP90,0),56,FALSE)),"")</f>
        <v/>
      </c>
      <c r="AS90" s="127" t="str">
        <f ca="1">IF(AR90&lt;&gt;"",IF(ISNA(VLOOKUP($N90,OFFSET(選手情報!$A$6:$M$119,AR90,0),13,FALSE)),"","/"&amp;VLOOKUP($N90,OFFSET(選手情報!$A$6:$M$119,AR90,0),13,FALSE)),"")</f>
        <v/>
      </c>
      <c r="AT90" s="127" t="str">
        <f ca="1">IF(AR90&lt;&gt;"",IF(ISNA(VLOOKUP($N90,OFFSET(選手情報!$A$6:$BD$119,AR90,0),56,FALSE)),"",VLOOKUP($N90,OFFSET(選手情報!$A$6:$BD$119,AR90,0),56,FALSE)),"")</f>
        <v/>
      </c>
      <c r="AU90" s="127" t="str">
        <f ca="1">IF(AT90&lt;&gt;"",IF(ISNA(VLOOKUP($N90,OFFSET(選手情報!$A$6:$M$119,AT90,0),13,FALSE)),"","/"&amp;VLOOKUP($N90,OFFSET(選手情報!$A$6:$M$119,AT90,0),13,FALSE)),"")</f>
        <v/>
      </c>
      <c r="AV90" s="127" t="str">
        <f ca="1">IF(AT90&lt;&gt;"",IF(ISNA(VLOOKUP($N90,OFFSET(選手情報!$A$6:$BD$119,AT90,0),56,FALSE)),"",VLOOKUP($N90,OFFSET(選手情報!$A$6:$BD$119,AT90,0),56,FALSE)),"")</f>
        <v/>
      </c>
      <c r="AW90" s="127" t="str">
        <f ca="1">IF(AV90&lt;&gt;"",IF(ISNA(VLOOKUP($N90,OFFSET(選手情報!$A$6:$M$119,AV90,0),13,FALSE)),"","/"&amp;VLOOKUP($N90,OFFSET(選手情報!$A$6:$M$119,AV90,0),13,FALSE)),"")</f>
        <v/>
      </c>
      <c r="AX90" s="127" t="str">
        <f ca="1">IF(AV90&lt;&gt;"",IF(ISNA(VLOOKUP($N90,OFFSET(選手情報!$A$6:$BD$119,AV90,0),56,FALSE)),"",VLOOKUP($N90,OFFSET(選手情報!$A$6:$BD$119,AV90,0),56,FALSE)),"")</f>
        <v/>
      </c>
      <c r="AY90" s="127" t="str">
        <f ca="1">IF(AX90&lt;&gt;"",IF(ISNA(VLOOKUP($N90,OFFSET(選手情報!$A$6:$M$119,AX90,0),13,FALSE)),"","/"&amp;VLOOKUP($N90,OFFSET(選手情報!$A$6:$M$119,AX90,0),13,FALSE)),"")</f>
        <v/>
      </c>
      <c r="AZ90" s="127" t="str">
        <f ca="1">IF(AX90&lt;&gt;"",IF(ISNA(VLOOKUP($N90,OFFSET(選手情報!$A$6:$BD$119,AX90,0),56,FALSE)),"",VLOOKUP($N90,OFFSET(選手情報!$A$6:$BD$119,AX90,0),56,FALSE)),"")</f>
        <v/>
      </c>
      <c r="BA90" s="127" t="str">
        <f ca="1">IF(AZ90&lt;&gt;"",IF(ISNA(VLOOKUP($N90,OFFSET(選手情報!$A$6:$M$119,AZ90,0),13,FALSE)),"","/"&amp;VLOOKUP($N90,OFFSET(選手情報!$A$6:$M$119,AZ90,0),13,FALSE)),"")</f>
        <v/>
      </c>
      <c r="BB90" s="127" t="str">
        <f ca="1">IF(AZ90&lt;&gt;"",IF(ISNA(VLOOKUP($N90,OFFSET(選手情報!$A$6:$BD$119,AZ90,0),56,FALSE)),"",VLOOKUP($N90,OFFSET(選手情報!$A$6:$BD$119,AZ90,0),56,FALSE)),"")</f>
        <v/>
      </c>
      <c r="BC90" s="127" t="str">
        <f ca="1">IF(BB90&lt;&gt;"",IF(ISNA(VLOOKUP($N90,OFFSET(選手情報!$A$6:$M$119,BB90,0),13,FALSE)),"","/"&amp;VLOOKUP($N90,OFFSET(選手情報!$A$6:$M$119,BB90,0),13,FALSE)),"")</f>
        <v/>
      </c>
      <c r="BD90" s="127" t="str">
        <f ca="1">IF(BB90&lt;&gt;"",IF(ISNA(VLOOKUP($N90,OFFSET(選手情報!$A$6:$BD$119,BB90,0),56,FALSE)),"",VLOOKUP($N90,OFFSET(選手情報!$A$6:$BD$119,BB90,0),56,FALSE)),"")</f>
        <v/>
      </c>
      <c r="BE90" s="127" t="str">
        <f ca="1">IF(BD90&lt;&gt;"",IF(ISNA(VLOOKUP($N90,OFFSET(選手情報!$A$6:$M$119,BD90,0),13,FALSE)),"","/"&amp;VLOOKUP($N90,OFFSET(選手情報!$A$6:$M$119,BD90,0),13,FALSE)),"")</f>
        <v/>
      </c>
      <c r="BF90" s="127" t="str">
        <f ca="1">IF(BD90&lt;&gt;"",IF(ISNA(VLOOKUP($N90,OFFSET(選手情報!$A$6:$BD$119,BD90,0),56,FALSE)),"",VLOOKUP($N90,OFFSET(選手情報!$A$6:$BD$119,BD90,0),56,FALSE)),"")</f>
        <v/>
      </c>
      <c r="BG90" s="127" t="str">
        <f ca="1">IF(BF90&lt;&gt;"",IF(ISNA(VLOOKUP($N90,OFFSET(選手情報!$A$6:$M$119,BF90,0),13,FALSE)),"","/"&amp;VLOOKUP($N90,OFFSET(選手情報!$A$6:$M$119,BF90,0),13,FALSE)),"")</f>
        <v/>
      </c>
      <c r="BH90" s="127" t="str">
        <f ca="1">IF(BF90&lt;&gt;"",IF(ISNA(VLOOKUP($N90,OFFSET(選手情報!$A$6:$BD$119,BF90,0),56,FALSE)),"",VLOOKUP($N90,OFFSET(選手情報!$A$6:$BD$119,BF90,0),56,FALSE)),"")</f>
        <v/>
      </c>
      <c r="BI90" s="127" t="str">
        <f ca="1">IF(BH90&lt;&gt;"",IF(ISNA(VLOOKUP($N90,OFFSET(選手情報!$A$6:$M$119,BH90,0),13,FALSE)),"","/"&amp;VLOOKUP($N90,OFFSET(選手情報!$A$6:$M$119,BH90,0),13,FALSE)),"")</f>
        <v/>
      </c>
    </row>
    <row r="91" spans="1:61" s="127" customFormat="1" ht="12.6" customHeight="1">
      <c r="A91" s="128" t="str">
        <f>IF(ISNA(VLOOKUP($C$2&amp;N91,選手データ!A:H,3,FALSE)),"",IF(M91&lt;&gt;M90,VLOOKUP($C$2&amp;N91,選手データ!A:H,3,FALSE),""))</f>
        <v/>
      </c>
      <c r="B91" s="129" t="str">
        <f>IF(A91&lt;&gt;"",VLOOKUP($C$2&amp;N91,選手データ!A:H,4,FALSE),"")</f>
        <v/>
      </c>
      <c r="C91" s="129" t="str">
        <f>IF(A91&lt;&gt;"",VLOOKUP($C$2&amp;N91,選手データ!A:H,5,FALSE),"")</f>
        <v/>
      </c>
      <c r="D91" s="129" t="str">
        <f>IF(A91&lt;&gt;"",VLOOKUP($C$2&amp;N91,選手データ!A:H,6,FALSE),"")</f>
        <v/>
      </c>
      <c r="E91" s="129" t="str">
        <f>IF(A91&lt;&gt;"",VLOOKUP($C$2&amp;N91,選手データ!A:H,7,FALSE),"")</f>
        <v/>
      </c>
      <c r="F91" s="130" t="str">
        <f>IF(A91&lt;&gt;"",VLOOKUP($C$2&amp;N91,選手データ!A:H,8,FALSE),"")</f>
        <v/>
      </c>
      <c r="G91" s="130" t="str">
        <f>IF(F91&lt;&gt;"",IF(DATEDIF(F91,設定!$B$12,"Y")&lt;20,"〇",""),"")</f>
        <v/>
      </c>
      <c r="H91" s="131" t="str">
        <f t="shared" ca="1" si="0"/>
        <v/>
      </c>
      <c r="I91" s="132" t="str">
        <f t="shared" ca="1" si="1"/>
        <v/>
      </c>
      <c r="J91" s="131" t="str">
        <f t="shared" ca="1" si="2"/>
        <v/>
      </c>
      <c r="K91" s="130" t="str">
        <f>IF(A91&lt;&gt;"",IF(COUNTIF(リレーチーム情報!$B$5:$B$10,A91&amp;E91)=1,"〇",""),"")</f>
        <v/>
      </c>
      <c r="L91" s="133" t="str">
        <f>IF(A91&lt;&gt;"",IF(COUNTIF(リレーチーム情報!$B$11:$B$16,A91&amp;E91)=1,"〇",""),"")</f>
        <v/>
      </c>
      <c r="M91" s="127">
        <f>IF(学校情報!$A$4&lt;&gt;"",0,IF(S90=0,MAX($M$37:M90)+1,M90))</f>
        <v>0</v>
      </c>
      <c r="N91" s="127" t="str">
        <f>IF(M91&lt;&gt;0,VLOOKUP(M91,選手情報!BF:BG,2,FALSE),"")</f>
        <v/>
      </c>
      <c r="O91" s="127" t="str">
        <f ca="1">IF(M91&lt;&gt;0,VLOOKUP(N91,OFFSET(選手情報!$A$6:$W$119,IF(M91&lt;&gt;M90,0,R90),0),13,FALSE),"")</f>
        <v/>
      </c>
      <c r="P91" s="127" t="str">
        <f ca="1">IF(M91&lt;&gt;0,VLOOKUP(N91,OFFSET(選手情報!$A$6:$W$119,IF(M91&lt;&gt;M90,0,R90),0),16,FALSE),"")</f>
        <v/>
      </c>
      <c r="Q91" s="127" t="str">
        <f ca="1">IF(M91&lt;&gt;0,VLOOKUP(N91,OFFSET(選手情報!$A$6:$W$119,IF(M91&lt;&gt;M90,0,R90),0),21,FALSE),"")</f>
        <v/>
      </c>
      <c r="R91" s="127">
        <f ca="1">IF(M91&lt;&gt;0,VLOOKUP(N91,OFFSET(選手情報!$A$6:$BD$119,IF(M91&lt;&gt;M90,0,R90),0),56,FALSE),0)</f>
        <v>0</v>
      </c>
      <c r="S91" s="127">
        <f ca="1">IF(M91&lt;&gt;0,IF(ISNA(R91),0,COUNTIF(OFFSET(選手情報!$A$6:$A$119,R91,0),N91)),0)</f>
        <v>0</v>
      </c>
      <c r="U91" s="127">
        <f t="shared" si="3"/>
        <v>0</v>
      </c>
      <c r="V91" s="127">
        <f t="shared" ca="1" si="4"/>
        <v>1</v>
      </c>
      <c r="W91" s="127">
        <f t="shared" ca="1" si="5"/>
        <v>0</v>
      </c>
      <c r="X91" s="127" t="str">
        <f t="shared" ca="1" si="6"/>
        <v/>
      </c>
      <c r="Y91" s="127" t="str">
        <f>IF($A91&lt;&gt;"",IF(ISNA(VLOOKUP($N91,選手情報!$A$6:$M$119,13,FALSE)),"","/"&amp;VLOOKUP($N91,選手情報!$A$6:$M$119,13,FALSE)),"")</f>
        <v/>
      </c>
      <c r="Z91" s="127" t="str">
        <f ca="1">IF(Y91&lt;&gt;"",IF(ISNA(VLOOKUP($N91,OFFSET(選手情報!$A$6:$BD$119,0,0),56,FALSE)),"",VLOOKUP($N91,OFFSET(選手情報!$A$6:$BD$119,0,0),56,FALSE)),"")</f>
        <v/>
      </c>
      <c r="AA91" s="127" t="str">
        <f ca="1">IF(Z91&lt;&gt;"",IF(ISNA(VLOOKUP($N91,OFFSET(選手情報!$A$6:$M$119,Z91,0),13,FALSE)),"","/"&amp;VLOOKUP($N91,OFFSET(選手情報!$A$6:$M$119,Z91,0),13,FALSE)),"")</f>
        <v/>
      </c>
      <c r="AB91" s="127" t="str">
        <f ca="1">IF(Z91&lt;&gt;"",IF(ISNA(VLOOKUP($N91,OFFSET(選手情報!$A$6:$BD$119,Z91,0),56,FALSE)),"",VLOOKUP($N91,OFFSET(選手情報!$A$6:$BD$119,Z91,0),56,FALSE)),"")</f>
        <v/>
      </c>
      <c r="AC91" s="127" t="str">
        <f ca="1">IF(AB91&lt;&gt;"",IF(ISNA(VLOOKUP($N91,OFFSET(選手情報!$A$6:$M$119,AB91,0),13,FALSE)),"","/"&amp;VLOOKUP($N91,OFFSET(選手情報!$A$6:$M$119,AB91,0),13,FALSE)),"")</f>
        <v/>
      </c>
      <c r="AD91" s="127" t="str">
        <f ca="1">IF(AB91&lt;&gt;"",IF(ISNA(VLOOKUP($N91,OFFSET(選手情報!$A$6:$BD$119,AB91,0),56,FALSE)),"",VLOOKUP($N91,OFFSET(選手情報!$A$6:$BD$119,AB91,0),56,FALSE)),"")</f>
        <v/>
      </c>
      <c r="AE91" s="127" t="str">
        <f ca="1">IF(AD91&lt;&gt;"",IF(ISNA(VLOOKUP($N91,OFFSET(選手情報!$A$6:$M$119,AD91,0),13,FALSE)),"","/"&amp;VLOOKUP($N91,OFFSET(選手情報!$A$6:$M$119,AD91,0),13,FALSE)),"")</f>
        <v/>
      </c>
      <c r="AF91" s="127" t="str">
        <f ca="1">IF(AD91&lt;&gt;"",IF(ISNA(VLOOKUP($N91,OFFSET(選手情報!$A$6:$BD$119,AD91,0),56,FALSE)),"",VLOOKUP($N91,OFFSET(選手情報!$A$6:$BD$119,AD91,0),56,FALSE)),"")</f>
        <v/>
      </c>
      <c r="AG91" s="127" t="str">
        <f ca="1">IF(AF91&lt;&gt;"",IF(ISNA(VLOOKUP($N91,OFFSET(選手情報!$A$6:$M$119,AF91,0),13,FALSE)),"","/"&amp;VLOOKUP($N91,OFFSET(選手情報!$A$6:$M$119,AF91,0),13,FALSE)),"")</f>
        <v/>
      </c>
      <c r="AH91" s="127" t="str">
        <f ca="1">IF(AF91&lt;&gt;"",IF(ISNA(VLOOKUP($N91,OFFSET(選手情報!$A$6:$BD$119,AF91,0),56,FALSE)),"",VLOOKUP($N91,OFFSET(選手情報!$A$6:$BD$119,AF91,0),56,FALSE)),"")</f>
        <v/>
      </c>
      <c r="AI91" s="127" t="str">
        <f ca="1">IF(AH91&lt;&gt;"",IF(ISNA(VLOOKUP($N91,OFFSET(選手情報!$A$6:$M$119,AH91,0),13,FALSE)),"","/"&amp;VLOOKUP($N91,OFFSET(選手情報!$A$6:$M$119,AH91,0),13,FALSE)),"")</f>
        <v/>
      </c>
      <c r="AJ91" s="127" t="str">
        <f ca="1">IF(AH91&lt;&gt;"",IF(ISNA(VLOOKUP($N91,OFFSET(選手情報!$A$6:$BD$119,AH91,0),56,FALSE)),"",VLOOKUP($N91,OFFSET(選手情報!$A$6:$BD$119,AH91,0),56,FALSE)),"")</f>
        <v/>
      </c>
      <c r="AK91" s="127" t="str">
        <f ca="1">IF(AJ91&lt;&gt;"",IF(ISNA(VLOOKUP($N91,OFFSET(選手情報!$A$6:$M$119,AJ91,0),13,FALSE)),"","/"&amp;VLOOKUP($N91,OFFSET(選手情報!$A$6:$M$119,AJ91,0),13,FALSE)),"")</f>
        <v/>
      </c>
      <c r="AL91" s="127" t="str">
        <f ca="1">IF(AJ91&lt;&gt;"",IF(ISNA(VLOOKUP($N91,OFFSET(選手情報!$A$6:$BD$119,AJ91,0),56,FALSE)),"",VLOOKUP($N91,OFFSET(選手情報!$A$6:$BD$119,AJ91,0),56,FALSE)),"")</f>
        <v/>
      </c>
      <c r="AM91" s="127" t="str">
        <f ca="1">IF(AL91&lt;&gt;"",IF(ISNA(VLOOKUP($N91,OFFSET(選手情報!$A$6:$M$119,AL91,0),13,FALSE)),"","/"&amp;VLOOKUP($N91,OFFSET(選手情報!$A$6:$M$119,AL91,0),13,FALSE)),"")</f>
        <v/>
      </c>
      <c r="AN91" s="127" t="str">
        <f ca="1">IF(AL91&lt;&gt;"",IF(ISNA(VLOOKUP($N91,OFFSET(選手情報!$A$6:$BD$119,AL91,0),56,FALSE)),"",VLOOKUP($N91,OFFSET(選手情報!$A$6:$BD$119,AL91,0),56,FALSE)),"")</f>
        <v/>
      </c>
      <c r="AO91" s="127" t="str">
        <f ca="1">IF(AN91&lt;&gt;"",IF(ISNA(VLOOKUP($N91,OFFSET(選手情報!$A$6:$M$119,AN91,0),13,FALSE)),"","/"&amp;VLOOKUP($N91,OFFSET(選手情報!$A$6:$M$119,AN91,0),13,FALSE)),"")</f>
        <v/>
      </c>
      <c r="AP91" s="127" t="str">
        <f ca="1">IF(AN91&lt;&gt;"",IF(ISNA(VLOOKUP($N91,OFFSET(選手情報!$A$6:$BD$119,AN91,0),56,FALSE)),"",VLOOKUP($N91,OFFSET(選手情報!$A$6:$BD$119,AN91,0),56,FALSE)),"")</f>
        <v/>
      </c>
      <c r="AQ91" s="127" t="str">
        <f ca="1">IF(AP91&lt;&gt;"",IF(ISNA(VLOOKUP($N91,OFFSET(選手情報!$A$6:$M$119,AP91,0),13,FALSE)),"","/"&amp;VLOOKUP($N91,OFFSET(選手情報!$A$6:$M$119,AP91,0),13,FALSE)),"")</f>
        <v/>
      </c>
      <c r="AR91" s="127" t="str">
        <f ca="1">IF(AP91&lt;&gt;"",IF(ISNA(VLOOKUP($N91,OFFSET(選手情報!$A$6:$BD$119,AP91,0),56,FALSE)),"",VLOOKUP($N91,OFFSET(選手情報!$A$6:$BD$119,AP91,0),56,FALSE)),"")</f>
        <v/>
      </c>
      <c r="AS91" s="127" t="str">
        <f ca="1">IF(AR91&lt;&gt;"",IF(ISNA(VLOOKUP($N91,OFFSET(選手情報!$A$6:$M$119,AR91,0),13,FALSE)),"","/"&amp;VLOOKUP($N91,OFFSET(選手情報!$A$6:$M$119,AR91,0),13,FALSE)),"")</f>
        <v/>
      </c>
      <c r="AT91" s="127" t="str">
        <f ca="1">IF(AR91&lt;&gt;"",IF(ISNA(VLOOKUP($N91,OFFSET(選手情報!$A$6:$BD$119,AR91,0),56,FALSE)),"",VLOOKUP($N91,OFFSET(選手情報!$A$6:$BD$119,AR91,0),56,FALSE)),"")</f>
        <v/>
      </c>
      <c r="AU91" s="127" t="str">
        <f ca="1">IF(AT91&lt;&gt;"",IF(ISNA(VLOOKUP($N91,OFFSET(選手情報!$A$6:$M$119,AT91,0),13,FALSE)),"","/"&amp;VLOOKUP($N91,OFFSET(選手情報!$A$6:$M$119,AT91,0),13,FALSE)),"")</f>
        <v/>
      </c>
      <c r="AV91" s="127" t="str">
        <f ca="1">IF(AT91&lt;&gt;"",IF(ISNA(VLOOKUP($N91,OFFSET(選手情報!$A$6:$BD$119,AT91,0),56,FALSE)),"",VLOOKUP($N91,OFFSET(選手情報!$A$6:$BD$119,AT91,0),56,FALSE)),"")</f>
        <v/>
      </c>
      <c r="AW91" s="127" t="str">
        <f ca="1">IF(AV91&lt;&gt;"",IF(ISNA(VLOOKUP($N91,OFFSET(選手情報!$A$6:$M$119,AV91,0),13,FALSE)),"","/"&amp;VLOOKUP($N91,OFFSET(選手情報!$A$6:$M$119,AV91,0),13,FALSE)),"")</f>
        <v/>
      </c>
      <c r="AX91" s="127" t="str">
        <f ca="1">IF(AV91&lt;&gt;"",IF(ISNA(VLOOKUP($N91,OFFSET(選手情報!$A$6:$BD$119,AV91,0),56,FALSE)),"",VLOOKUP($N91,OFFSET(選手情報!$A$6:$BD$119,AV91,0),56,FALSE)),"")</f>
        <v/>
      </c>
      <c r="AY91" s="127" t="str">
        <f ca="1">IF(AX91&lt;&gt;"",IF(ISNA(VLOOKUP($N91,OFFSET(選手情報!$A$6:$M$119,AX91,0),13,FALSE)),"","/"&amp;VLOOKUP($N91,OFFSET(選手情報!$A$6:$M$119,AX91,0),13,FALSE)),"")</f>
        <v/>
      </c>
      <c r="AZ91" s="127" t="str">
        <f ca="1">IF(AX91&lt;&gt;"",IF(ISNA(VLOOKUP($N91,OFFSET(選手情報!$A$6:$BD$119,AX91,0),56,FALSE)),"",VLOOKUP($N91,OFFSET(選手情報!$A$6:$BD$119,AX91,0),56,FALSE)),"")</f>
        <v/>
      </c>
      <c r="BA91" s="127" t="str">
        <f ca="1">IF(AZ91&lt;&gt;"",IF(ISNA(VLOOKUP($N91,OFFSET(選手情報!$A$6:$M$119,AZ91,0),13,FALSE)),"","/"&amp;VLOOKUP($N91,OFFSET(選手情報!$A$6:$M$119,AZ91,0),13,FALSE)),"")</f>
        <v/>
      </c>
      <c r="BB91" s="127" t="str">
        <f ca="1">IF(AZ91&lt;&gt;"",IF(ISNA(VLOOKUP($N91,OFFSET(選手情報!$A$6:$BD$119,AZ91,0),56,FALSE)),"",VLOOKUP($N91,OFFSET(選手情報!$A$6:$BD$119,AZ91,0),56,FALSE)),"")</f>
        <v/>
      </c>
      <c r="BC91" s="127" t="str">
        <f ca="1">IF(BB91&lt;&gt;"",IF(ISNA(VLOOKUP($N91,OFFSET(選手情報!$A$6:$M$119,BB91,0),13,FALSE)),"","/"&amp;VLOOKUP($N91,OFFSET(選手情報!$A$6:$M$119,BB91,0),13,FALSE)),"")</f>
        <v/>
      </c>
      <c r="BD91" s="127" t="str">
        <f ca="1">IF(BB91&lt;&gt;"",IF(ISNA(VLOOKUP($N91,OFFSET(選手情報!$A$6:$BD$119,BB91,0),56,FALSE)),"",VLOOKUP($N91,OFFSET(選手情報!$A$6:$BD$119,BB91,0),56,FALSE)),"")</f>
        <v/>
      </c>
      <c r="BE91" s="127" t="str">
        <f ca="1">IF(BD91&lt;&gt;"",IF(ISNA(VLOOKUP($N91,OFFSET(選手情報!$A$6:$M$119,BD91,0),13,FALSE)),"","/"&amp;VLOOKUP($N91,OFFSET(選手情報!$A$6:$M$119,BD91,0),13,FALSE)),"")</f>
        <v/>
      </c>
      <c r="BF91" s="127" t="str">
        <f ca="1">IF(BD91&lt;&gt;"",IF(ISNA(VLOOKUP($N91,OFFSET(選手情報!$A$6:$BD$119,BD91,0),56,FALSE)),"",VLOOKUP($N91,OFFSET(選手情報!$A$6:$BD$119,BD91,0),56,FALSE)),"")</f>
        <v/>
      </c>
      <c r="BG91" s="127" t="str">
        <f ca="1">IF(BF91&lt;&gt;"",IF(ISNA(VLOOKUP($N91,OFFSET(選手情報!$A$6:$M$119,BF91,0),13,FALSE)),"","/"&amp;VLOOKUP($N91,OFFSET(選手情報!$A$6:$M$119,BF91,0),13,FALSE)),"")</f>
        <v/>
      </c>
      <c r="BH91" s="127" t="str">
        <f ca="1">IF(BF91&lt;&gt;"",IF(ISNA(VLOOKUP($N91,OFFSET(選手情報!$A$6:$BD$119,BF91,0),56,FALSE)),"",VLOOKUP($N91,OFFSET(選手情報!$A$6:$BD$119,BF91,0),56,FALSE)),"")</f>
        <v/>
      </c>
      <c r="BI91" s="127" t="str">
        <f ca="1">IF(BH91&lt;&gt;"",IF(ISNA(VLOOKUP($N91,OFFSET(選手情報!$A$6:$M$119,BH91,0),13,FALSE)),"","/"&amp;VLOOKUP($N91,OFFSET(選手情報!$A$6:$M$119,BH91,0),13,FALSE)),"")</f>
        <v/>
      </c>
    </row>
    <row r="92" spans="1:61" s="127" customFormat="1" ht="12.6" customHeight="1">
      <c r="A92" s="128" t="str">
        <f>IF(ISNA(VLOOKUP($C$2&amp;N92,選手データ!A:H,3,FALSE)),"",IF(M92&lt;&gt;M85,VLOOKUP($C$2&amp;N92,選手データ!A:H,3,FALSE),""))</f>
        <v/>
      </c>
      <c r="B92" s="129" t="str">
        <f>IF(A92&lt;&gt;"",VLOOKUP($C$2&amp;N92,選手データ!A:H,4,FALSE),"")</f>
        <v/>
      </c>
      <c r="C92" s="129" t="str">
        <f>IF(A92&lt;&gt;"",VLOOKUP($C$2&amp;N92,選手データ!A:H,5,FALSE),"")</f>
        <v/>
      </c>
      <c r="D92" s="129" t="str">
        <f>IF(A92&lt;&gt;"",VLOOKUP($C$2&amp;N92,選手データ!A:H,6,FALSE),"")</f>
        <v/>
      </c>
      <c r="E92" s="129" t="str">
        <f>IF(A92&lt;&gt;"",VLOOKUP($C$2&amp;N92,選手データ!A:H,7,FALSE),"")</f>
        <v/>
      </c>
      <c r="F92" s="130" t="str">
        <f>IF(A92&lt;&gt;"",VLOOKUP($C$2&amp;N92,選手データ!A:H,8,FALSE),"")</f>
        <v/>
      </c>
      <c r="G92" s="130" t="str">
        <f>IF(F92&lt;&gt;"",IF(DATEDIF(F92,設定!$B$12,"Y")&lt;20,"〇",""),"")</f>
        <v/>
      </c>
      <c r="H92" s="131" t="str">
        <f t="shared" ref="H92:H104" ca="1" si="7">IF(ISNA(O92),"",O92)</f>
        <v/>
      </c>
      <c r="I92" s="132" t="str">
        <f t="shared" ref="I92:I104" ca="1" si="8">IF(ISNA(Q92),"",Q92)</f>
        <v/>
      </c>
      <c r="J92" s="131" t="str">
        <f t="shared" ref="J92:J104" ca="1" si="9">IF(ISNA(P92),"",P92)</f>
        <v/>
      </c>
      <c r="K92" s="130" t="str">
        <f>IF(A92&lt;&gt;"",IF(COUNTIF(リレーチーム情報!$B$5:$B$10,A92&amp;E92)=1,"〇",""),"")</f>
        <v/>
      </c>
      <c r="L92" s="133" t="str">
        <f>IF(A92&lt;&gt;"",IF(COUNTIF(リレーチーム情報!$B$11:$B$16,A92&amp;E92)=1,"〇",""),"")</f>
        <v/>
      </c>
      <c r="M92" s="127">
        <f>IF(学校情報!$A$4&lt;&gt;"",0,IF(S91=0,MAX($M$37:M91)+1,M91))</f>
        <v>0</v>
      </c>
      <c r="N92" s="127" t="str">
        <f>IF(M92&lt;&gt;0,VLOOKUP(M92,選手情報!BF:BG,2,FALSE),"")</f>
        <v/>
      </c>
      <c r="O92" s="127" t="str">
        <f ca="1">IF(M92&lt;&gt;0,VLOOKUP(N92,OFFSET(選手情報!$A$6:$W$119,IF(M92&lt;&gt;M91,0,R91),0),13,FALSE),"")</f>
        <v/>
      </c>
      <c r="P92" s="127" t="str">
        <f ca="1">IF(M92&lt;&gt;0,VLOOKUP(N92,OFFSET(選手情報!$A$6:$W$119,IF(M92&lt;&gt;M91,0,R91),0),16,FALSE),"")</f>
        <v/>
      </c>
      <c r="Q92" s="127" t="str">
        <f ca="1">IF(M92&lt;&gt;0,VLOOKUP(N92,OFFSET(選手情報!$A$6:$W$119,IF(M92&lt;&gt;M91,0,R91),0),21,FALSE),"")</f>
        <v/>
      </c>
      <c r="R92" s="127">
        <f ca="1">IF(M92&lt;&gt;0,VLOOKUP(N92,OFFSET(選手情報!$A$6:$BD$119,IF(M92&lt;&gt;M91,0,R91),0),56,FALSE),0)</f>
        <v>0</v>
      </c>
      <c r="S92" s="127">
        <f ca="1">IF(M92&lt;&gt;0,IF(ISNA(R92),0,COUNTIF(OFFSET(選手情報!$A$6:$A$119,R92,0),N92)),0)</f>
        <v>0</v>
      </c>
      <c r="U92" s="127">
        <f t="shared" ref="U92:U97" si="10">IF(ISNA(N92),0,IF(N92&lt;&gt;N85,1,0))</f>
        <v>0</v>
      </c>
      <c r="V92" s="127">
        <f t="shared" ca="1" si="4"/>
        <v>1</v>
      </c>
      <c r="W92" s="127">
        <f t="shared" ca="1" si="5"/>
        <v>0</v>
      </c>
      <c r="X92" s="127" t="str">
        <f t="shared" ca="1" si="6"/>
        <v/>
      </c>
      <c r="Y92" s="127" t="str">
        <f>IF($A92&lt;&gt;"",IF(ISNA(VLOOKUP($N92,選手情報!$A$6:$M$119,13,FALSE)),"","/"&amp;VLOOKUP($N92,選手情報!$A$6:$M$119,13,FALSE)),"")</f>
        <v/>
      </c>
      <c r="Z92" s="127" t="str">
        <f ca="1">IF(Y92&lt;&gt;"",IF(ISNA(VLOOKUP($N92,OFFSET(選手情報!$A$6:$BD$119,0,0),56,FALSE)),"",VLOOKUP($N92,OFFSET(選手情報!$A$6:$BD$119,0,0),56,FALSE)),"")</f>
        <v/>
      </c>
      <c r="AA92" s="127" t="str">
        <f ca="1">IF(Z92&lt;&gt;"",IF(ISNA(VLOOKUP($N92,OFFSET(選手情報!$A$6:$M$119,Z92,0),13,FALSE)),"","/"&amp;VLOOKUP($N92,OFFSET(選手情報!$A$6:$M$119,Z92,0),13,FALSE)),"")</f>
        <v/>
      </c>
      <c r="AB92" s="127" t="str">
        <f ca="1">IF(Z92&lt;&gt;"",IF(ISNA(VLOOKUP($N92,OFFSET(選手情報!$A$6:$BD$119,Z92,0),56,FALSE)),"",VLOOKUP($N92,OFFSET(選手情報!$A$6:$BD$119,Z92,0),56,FALSE)),"")</f>
        <v/>
      </c>
      <c r="AC92" s="127" t="str">
        <f ca="1">IF(AB92&lt;&gt;"",IF(ISNA(VLOOKUP($N92,OFFSET(選手情報!$A$6:$M$119,AB92,0),13,FALSE)),"","/"&amp;VLOOKUP($N92,OFFSET(選手情報!$A$6:$M$119,AB92,0),13,FALSE)),"")</f>
        <v/>
      </c>
      <c r="AD92" s="127" t="str">
        <f ca="1">IF(AB92&lt;&gt;"",IF(ISNA(VLOOKUP($N92,OFFSET(選手情報!$A$6:$BD$119,AB92,0),56,FALSE)),"",VLOOKUP($N92,OFFSET(選手情報!$A$6:$BD$119,AB92,0),56,FALSE)),"")</f>
        <v/>
      </c>
      <c r="AE92" s="127" t="str">
        <f ca="1">IF(AD92&lt;&gt;"",IF(ISNA(VLOOKUP($N92,OFFSET(選手情報!$A$6:$M$119,AD92,0),13,FALSE)),"","/"&amp;VLOOKUP($N92,OFFSET(選手情報!$A$6:$M$119,AD92,0),13,FALSE)),"")</f>
        <v/>
      </c>
      <c r="AF92" s="127" t="str">
        <f ca="1">IF(AD92&lt;&gt;"",IF(ISNA(VLOOKUP($N92,OFFSET(選手情報!$A$6:$BD$119,AD92,0),56,FALSE)),"",VLOOKUP($N92,OFFSET(選手情報!$A$6:$BD$119,AD92,0),56,FALSE)),"")</f>
        <v/>
      </c>
      <c r="AG92" s="127" t="str">
        <f ca="1">IF(AF92&lt;&gt;"",IF(ISNA(VLOOKUP($N92,OFFSET(選手情報!$A$6:$M$119,AF92,0),13,FALSE)),"","/"&amp;VLOOKUP($N92,OFFSET(選手情報!$A$6:$M$119,AF92,0),13,FALSE)),"")</f>
        <v/>
      </c>
      <c r="AH92" s="127" t="str">
        <f ca="1">IF(AF92&lt;&gt;"",IF(ISNA(VLOOKUP($N92,OFFSET(選手情報!$A$6:$BD$119,AF92,0),56,FALSE)),"",VLOOKUP($N92,OFFSET(選手情報!$A$6:$BD$119,AF92,0),56,FALSE)),"")</f>
        <v/>
      </c>
      <c r="AI92" s="127" t="str">
        <f ca="1">IF(AH92&lt;&gt;"",IF(ISNA(VLOOKUP($N92,OFFSET(選手情報!$A$6:$M$119,AH92,0),13,FALSE)),"","/"&amp;VLOOKUP($N92,OFFSET(選手情報!$A$6:$M$119,AH92,0),13,FALSE)),"")</f>
        <v/>
      </c>
      <c r="AJ92" s="127" t="str">
        <f ca="1">IF(AH92&lt;&gt;"",IF(ISNA(VLOOKUP($N92,OFFSET(選手情報!$A$6:$BD$119,AH92,0),56,FALSE)),"",VLOOKUP($N92,OFFSET(選手情報!$A$6:$BD$119,AH92,0),56,FALSE)),"")</f>
        <v/>
      </c>
      <c r="AK92" s="127" t="str">
        <f ca="1">IF(AJ92&lt;&gt;"",IF(ISNA(VLOOKUP($N92,OFFSET(選手情報!$A$6:$M$119,AJ92,0),13,FALSE)),"","/"&amp;VLOOKUP($N92,OFFSET(選手情報!$A$6:$M$119,AJ92,0),13,FALSE)),"")</f>
        <v/>
      </c>
      <c r="AL92" s="127" t="str">
        <f ca="1">IF(AJ92&lt;&gt;"",IF(ISNA(VLOOKUP($N92,OFFSET(選手情報!$A$6:$BD$119,AJ92,0),56,FALSE)),"",VLOOKUP($N92,OFFSET(選手情報!$A$6:$BD$119,AJ92,0),56,FALSE)),"")</f>
        <v/>
      </c>
      <c r="AM92" s="127" t="str">
        <f ca="1">IF(AL92&lt;&gt;"",IF(ISNA(VLOOKUP($N92,OFFSET(選手情報!$A$6:$M$119,AL92,0),13,FALSE)),"","/"&amp;VLOOKUP($N92,OFFSET(選手情報!$A$6:$M$119,AL92,0),13,FALSE)),"")</f>
        <v/>
      </c>
      <c r="AN92" s="127" t="str">
        <f ca="1">IF(AL92&lt;&gt;"",IF(ISNA(VLOOKUP($N92,OFFSET(選手情報!$A$6:$BD$119,AL92,0),56,FALSE)),"",VLOOKUP($N92,OFFSET(選手情報!$A$6:$BD$119,AL92,0),56,FALSE)),"")</f>
        <v/>
      </c>
      <c r="AO92" s="127" t="str">
        <f ca="1">IF(AN92&lt;&gt;"",IF(ISNA(VLOOKUP($N92,OFFSET(選手情報!$A$6:$M$119,AN92,0),13,FALSE)),"","/"&amp;VLOOKUP($N92,OFFSET(選手情報!$A$6:$M$119,AN92,0),13,FALSE)),"")</f>
        <v/>
      </c>
      <c r="AP92" s="127" t="str">
        <f ca="1">IF(AN92&lt;&gt;"",IF(ISNA(VLOOKUP($N92,OFFSET(選手情報!$A$6:$BD$119,AN92,0),56,FALSE)),"",VLOOKUP($N92,OFFSET(選手情報!$A$6:$BD$119,AN92,0),56,FALSE)),"")</f>
        <v/>
      </c>
      <c r="AQ92" s="127" t="str">
        <f ca="1">IF(AP92&lt;&gt;"",IF(ISNA(VLOOKUP($N92,OFFSET(選手情報!$A$6:$M$119,AP92,0),13,FALSE)),"","/"&amp;VLOOKUP($N92,OFFSET(選手情報!$A$6:$M$119,AP92,0),13,FALSE)),"")</f>
        <v/>
      </c>
      <c r="AR92" s="127" t="str">
        <f ca="1">IF(AP92&lt;&gt;"",IF(ISNA(VLOOKUP($N92,OFFSET(選手情報!$A$6:$BD$119,AP92,0),56,FALSE)),"",VLOOKUP($N92,OFFSET(選手情報!$A$6:$BD$119,AP92,0),56,FALSE)),"")</f>
        <v/>
      </c>
      <c r="AS92" s="127" t="str">
        <f ca="1">IF(AR92&lt;&gt;"",IF(ISNA(VLOOKUP($N92,OFFSET(選手情報!$A$6:$M$119,AR92,0),13,FALSE)),"","/"&amp;VLOOKUP($N92,OFFSET(選手情報!$A$6:$M$119,AR92,0),13,FALSE)),"")</f>
        <v/>
      </c>
      <c r="AT92" s="127" t="str">
        <f ca="1">IF(AR92&lt;&gt;"",IF(ISNA(VLOOKUP($N92,OFFSET(選手情報!$A$6:$BD$119,AR92,0),56,FALSE)),"",VLOOKUP($N92,OFFSET(選手情報!$A$6:$BD$119,AR92,0),56,FALSE)),"")</f>
        <v/>
      </c>
      <c r="AU92" s="127" t="str">
        <f ca="1">IF(AT92&lt;&gt;"",IF(ISNA(VLOOKUP($N92,OFFSET(選手情報!$A$6:$M$119,AT92,0),13,FALSE)),"","/"&amp;VLOOKUP($N92,OFFSET(選手情報!$A$6:$M$119,AT92,0),13,FALSE)),"")</f>
        <v/>
      </c>
      <c r="AV92" s="127" t="str">
        <f ca="1">IF(AT92&lt;&gt;"",IF(ISNA(VLOOKUP($N92,OFFSET(選手情報!$A$6:$BD$119,AT92,0),56,FALSE)),"",VLOOKUP($N92,OFFSET(選手情報!$A$6:$BD$119,AT92,0),56,FALSE)),"")</f>
        <v/>
      </c>
      <c r="AW92" s="127" t="str">
        <f ca="1">IF(AV92&lt;&gt;"",IF(ISNA(VLOOKUP($N92,OFFSET(選手情報!$A$6:$M$119,AV92,0),13,FALSE)),"","/"&amp;VLOOKUP($N92,OFFSET(選手情報!$A$6:$M$119,AV92,0),13,FALSE)),"")</f>
        <v/>
      </c>
      <c r="AX92" s="127" t="str">
        <f ca="1">IF(AV92&lt;&gt;"",IF(ISNA(VLOOKUP($N92,OFFSET(選手情報!$A$6:$BD$119,AV92,0),56,FALSE)),"",VLOOKUP($N92,OFFSET(選手情報!$A$6:$BD$119,AV92,0),56,FALSE)),"")</f>
        <v/>
      </c>
      <c r="AY92" s="127" t="str">
        <f ca="1">IF(AX92&lt;&gt;"",IF(ISNA(VLOOKUP($N92,OFFSET(選手情報!$A$6:$M$119,AX92,0),13,FALSE)),"","/"&amp;VLOOKUP($N92,OFFSET(選手情報!$A$6:$M$119,AX92,0),13,FALSE)),"")</f>
        <v/>
      </c>
      <c r="AZ92" s="127" t="str">
        <f ca="1">IF(AX92&lt;&gt;"",IF(ISNA(VLOOKUP($N92,OFFSET(選手情報!$A$6:$BD$119,AX92,0),56,FALSE)),"",VLOOKUP($N92,OFFSET(選手情報!$A$6:$BD$119,AX92,0),56,FALSE)),"")</f>
        <v/>
      </c>
      <c r="BA92" s="127" t="str">
        <f ca="1">IF(AZ92&lt;&gt;"",IF(ISNA(VLOOKUP($N92,OFFSET(選手情報!$A$6:$M$119,AZ92,0),13,FALSE)),"","/"&amp;VLOOKUP($N92,OFFSET(選手情報!$A$6:$M$119,AZ92,0),13,FALSE)),"")</f>
        <v/>
      </c>
      <c r="BB92" s="127" t="str">
        <f ca="1">IF(AZ92&lt;&gt;"",IF(ISNA(VLOOKUP($N92,OFFSET(選手情報!$A$6:$BD$119,AZ92,0),56,FALSE)),"",VLOOKUP($N92,OFFSET(選手情報!$A$6:$BD$119,AZ92,0),56,FALSE)),"")</f>
        <v/>
      </c>
      <c r="BC92" s="127" t="str">
        <f ca="1">IF(BB92&lt;&gt;"",IF(ISNA(VLOOKUP($N92,OFFSET(選手情報!$A$6:$M$119,BB92,0),13,FALSE)),"","/"&amp;VLOOKUP($N92,OFFSET(選手情報!$A$6:$M$119,BB92,0),13,FALSE)),"")</f>
        <v/>
      </c>
      <c r="BD92" s="127" t="str">
        <f ca="1">IF(BB92&lt;&gt;"",IF(ISNA(VLOOKUP($N92,OFFSET(選手情報!$A$6:$BD$119,BB92,0),56,FALSE)),"",VLOOKUP($N92,OFFSET(選手情報!$A$6:$BD$119,BB92,0),56,FALSE)),"")</f>
        <v/>
      </c>
      <c r="BE92" s="127" t="str">
        <f ca="1">IF(BD92&lt;&gt;"",IF(ISNA(VLOOKUP($N92,OFFSET(選手情報!$A$6:$M$119,BD92,0),13,FALSE)),"","/"&amp;VLOOKUP($N92,OFFSET(選手情報!$A$6:$M$119,BD92,0),13,FALSE)),"")</f>
        <v/>
      </c>
      <c r="BF92" s="127" t="str">
        <f ca="1">IF(BD92&lt;&gt;"",IF(ISNA(VLOOKUP($N92,OFFSET(選手情報!$A$6:$BD$119,BD92,0),56,FALSE)),"",VLOOKUP($N92,OFFSET(選手情報!$A$6:$BD$119,BD92,0),56,FALSE)),"")</f>
        <v/>
      </c>
      <c r="BG92" s="127" t="str">
        <f ca="1">IF(BF92&lt;&gt;"",IF(ISNA(VLOOKUP($N92,OFFSET(選手情報!$A$6:$M$119,BF92,0),13,FALSE)),"","/"&amp;VLOOKUP($N92,OFFSET(選手情報!$A$6:$M$119,BF92,0),13,FALSE)),"")</f>
        <v/>
      </c>
      <c r="BH92" s="127" t="str">
        <f ca="1">IF(BF92&lt;&gt;"",IF(ISNA(VLOOKUP($N92,OFFSET(選手情報!$A$6:$BD$119,BF92,0),56,FALSE)),"",VLOOKUP($N92,OFFSET(選手情報!$A$6:$BD$119,BF92,0),56,FALSE)),"")</f>
        <v/>
      </c>
      <c r="BI92" s="127" t="str">
        <f ca="1">IF(BH92&lt;&gt;"",IF(ISNA(VLOOKUP($N92,OFFSET(選手情報!$A$6:$M$119,BH92,0),13,FALSE)),"","/"&amp;VLOOKUP($N92,OFFSET(選手情報!$A$6:$M$119,BH92,0),13,FALSE)),"")</f>
        <v/>
      </c>
    </row>
    <row r="93" spans="1:61" s="127" customFormat="1" ht="12.6" customHeight="1">
      <c r="A93" s="128" t="str">
        <f>IF(ISNA(VLOOKUP($C$2&amp;N93,選手データ!A:H,3,FALSE)),"",IF(M93&lt;&gt;M86,VLOOKUP($C$2&amp;N93,選手データ!A:H,3,FALSE),""))</f>
        <v/>
      </c>
      <c r="B93" s="129" t="str">
        <f>IF(A93&lt;&gt;"",VLOOKUP($C$2&amp;N93,選手データ!A:H,4,FALSE),"")</f>
        <v/>
      </c>
      <c r="C93" s="129" t="str">
        <f>IF(A93&lt;&gt;"",VLOOKUP($C$2&amp;N93,選手データ!A:H,5,FALSE),"")</f>
        <v/>
      </c>
      <c r="D93" s="129" t="str">
        <f>IF(A93&lt;&gt;"",VLOOKUP($C$2&amp;N93,選手データ!A:H,6,FALSE),"")</f>
        <v/>
      </c>
      <c r="E93" s="129" t="str">
        <f>IF(A93&lt;&gt;"",VLOOKUP($C$2&amp;N93,選手データ!A:H,7,FALSE),"")</f>
        <v/>
      </c>
      <c r="F93" s="130" t="str">
        <f>IF(A93&lt;&gt;"",VLOOKUP($C$2&amp;N93,選手データ!A:H,8,FALSE),"")</f>
        <v/>
      </c>
      <c r="G93" s="130" t="str">
        <f>IF(F93&lt;&gt;"",IF(DATEDIF(F93,設定!$B$12,"Y")&lt;20,"〇",""),"")</f>
        <v/>
      </c>
      <c r="H93" s="131" t="str">
        <f t="shared" ca="1" si="7"/>
        <v/>
      </c>
      <c r="I93" s="132" t="str">
        <f t="shared" ca="1" si="8"/>
        <v/>
      </c>
      <c r="J93" s="131" t="str">
        <f t="shared" ca="1" si="9"/>
        <v/>
      </c>
      <c r="K93" s="130" t="str">
        <f>IF(A93&lt;&gt;"",IF(COUNTIF(リレーチーム情報!$B$5:$B$10,A93&amp;E93)=1,"〇",""),"")</f>
        <v/>
      </c>
      <c r="L93" s="133" t="str">
        <f>IF(A93&lt;&gt;"",IF(COUNTIF(リレーチーム情報!$B$11:$B$16,A93&amp;E93)=1,"〇",""),"")</f>
        <v/>
      </c>
      <c r="M93" s="127">
        <f>IF(学校情報!$A$4&lt;&gt;"",0,IF(S92=0,MAX($M$37:M92)+1,M92))</f>
        <v>0</v>
      </c>
      <c r="N93" s="127" t="str">
        <f>IF(M93&lt;&gt;0,VLOOKUP(M93,選手情報!BF:BG,2,FALSE),"")</f>
        <v/>
      </c>
      <c r="O93" s="127" t="str">
        <f ca="1">IF(M93&lt;&gt;0,VLOOKUP(N93,OFFSET(選手情報!$A$6:$W$119,IF(M93&lt;&gt;M92,0,R92),0),13,FALSE),"")</f>
        <v/>
      </c>
      <c r="P93" s="127" t="str">
        <f ca="1">IF(M93&lt;&gt;0,VLOOKUP(N93,OFFSET(選手情報!$A$6:$W$119,IF(M93&lt;&gt;M92,0,R92),0),16,FALSE),"")</f>
        <v/>
      </c>
      <c r="Q93" s="127" t="str">
        <f ca="1">IF(M93&lt;&gt;0,VLOOKUP(N93,OFFSET(選手情報!$A$6:$W$119,IF(M93&lt;&gt;M92,0,R92),0),21,FALSE),"")</f>
        <v/>
      </c>
      <c r="R93" s="127">
        <f ca="1">IF(M93&lt;&gt;0,VLOOKUP(N93,OFFSET(選手情報!$A$6:$BD$119,IF(M93&lt;&gt;M92,0,R92),0),56,FALSE),0)</f>
        <v>0</v>
      </c>
      <c r="S93" s="127">
        <f ca="1">IF(M93&lt;&gt;0,IF(ISNA(R93),0,COUNTIF(OFFSET(選手情報!$A$6:$A$119,R93,0),N93)),0)</f>
        <v>0</v>
      </c>
      <c r="U93" s="127">
        <f t="shared" si="10"/>
        <v>0</v>
      </c>
      <c r="V93" s="127">
        <f t="shared" ca="1" si="4"/>
        <v>1</v>
      </c>
      <c r="W93" s="127">
        <f t="shared" ca="1" si="5"/>
        <v>0</v>
      </c>
      <c r="X93" s="127" t="str">
        <f t="shared" ca="1" si="6"/>
        <v/>
      </c>
      <c r="Y93" s="127" t="str">
        <f>IF($A93&lt;&gt;"",IF(ISNA(VLOOKUP($N93,選手情報!$A$6:$M$119,13,FALSE)),"","/"&amp;VLOOKUP($N93,選手情報!$A$6:$M$119,13,FALSE)),"")</f>
        <v/>
      </c>
      <c r="Z93" s="127" t="str">
        <f ca="1">IF(Y93&lt;&gt;"",IF(ISNA(VLOOKUP($N93,OFFSET(選手情報!$A$6:$BD$119,0,0),56,FALSE)),"",VLOOKUP($N93,OFFSET(選手情報!$A$6:$BD$119,0,0),56,FALSE)),"")</f>
        <v/>
      </c>
      <c r="AA93" s="127" t="str">
        <f ca="1">IF(Z93&lt;&gt;"",IF(ISNA(VLOOKUP($N93,OFFSET(選手情報!$A$6:$M$119,Z93,0),13,FALSE)),"","/"&amp;VLOOKUP($N93,OFFSET(選手情報!$A$6:$M$119,Z93,0),13,FALSE)),"")</f>
        <v/>
      </c>
      <c r="AB93" s="127" t="str">
        <f ca="1">IF(Z93&lt;&gt;"",IF(ISNA(VLOOKUP($N93,OFFSET(選手情報!$A$6:$BD$119,Z93,0),56,FALSE)),"",VLOOKUP($N93,OFFSET(選手情報!$A$6:$BD$119,Z93,0),56,FALSE)),"")</f>
        <v/>
      </c>
      <c r="AC93" s="127" t="str">
        <f ca="1">IF(AB93&lt;&gt;"",IF(ISNA(VLOOKUP($N93,OFFSET(選手情報!$A$6:$M$119,AB93,0),13,FALSE)),"","/"&amp;VLOOKUP($N93,OFFSET(選手情報!$A$6:$M$119,AB93,0),13,FALSE)),"")</f>
        <v/>
      </c>
      <c r="AD93" s="127" t="str">
        <f ca="1">IF(AB93&lt;&gt;"",IF(ISNA(VLOOKUP($N93,OFFSET(選手情報!$A$6:$BD$119,AB93,0),56,FALSE)),"",VLOOKUP($N93,OFFSET(選手情報!$A$6:$BD$119,AB93,0),56,FALSE)),"")</f>
        <v/>
      </c>
      <c r="AE93" s="127" t="str">
        <f ca="1">IF(AD93&lt;&gt;"",IF(ISNA(VLOOKUP($N93,OFFSET(選手情報!$A$6:$M$119,AD93,0),13,FALSE)),"","/"&amp;VLOOKUP($N93,OFFSET(選手情報!$A$6:$M$119,AD93,0),13,FALSE)),"")</f>
        <v/>
      </c>
      <c r="AF93" s="127" t="str">
        <f ca="1">IF(AD93&lt;&gt;"",IF(ISNA(VLOOKUP($N93,OFFSET(選手情報!$A$6:$BD$119,AD93,0),56,FALSE)),"",VLOOKUP($N93,OFFSET(選手情報!$A$6:$BD$119,AD93,0),56,FALSE)),"")</f>
        <v/>
      </c>
      <c r="AG93" s="127" t="str">
        <f ca="1">IF(AF93&lt;&gt;"",IF(ISNA(VLOOKUP($N93,OFFSET(選手情報!$A$6:$M$119,AF93,0),13,FALSE)),"","/"&amp;VLOOKUP($N93,OFFSET(選手情報!$A$6:$M$119,AF93,0),13,FALSE)),"")</f>
        <v/>
      </c>
      <c r="AH93" s="127" t="str">
        <f ca="1">IF(AF93&lt;&gt;"",IF(ISNA(VLOOKUP($N93,OFFSET(選手情報!$A$6:$BD$119,AF93,0),56,FALSE)),"",VLOOKUP($N93,OFFSET(選手情報!$A$6:$BD$119,AF93,0),56,FALSE)),"")</f>
        <v/>
      </c>
      <c r="AI93" s="127" t="str">
        <f ca="1">IF(AH93&lt;&gt;"",IF(ISNA(VLOOKUP($N93,OFFSET(選手情報!$A$6:$M$119,AH93,0),13,FALSE)),"","/"&amp;VLOOKUP($N93,OFFSET(選手情報!$A$6:$M$119,AH93,0),13,FALSE)),"")</f>
        <v/>
      </c>
      <c r="AJ93" s="127" t="str">
        <f ca="1">IF(AH93&lt;&gt;"",IF(ISNA(VLOOKUP($N93,OFFSET(選手情報!$A$6:$BD$119,AH93,0),56,FALSE)),"",VLOOKUP($N93,OFFSET(選手情報!$A$6:$BD$119,AH93,0),56,FALSE)),"")</f>
        <v/>
      </c>
      <c r="AK93" s="127" t="str">
        <f ca="1">IF(AJ93&lt;&gt;"",IF(ISNA(VLOOKUP($N93,OFFSET(選手情報!$A$6:$M$119,AJ93,0),13,FALSE)),"","/"&amp;VLOOKUP($N93,OFFSET(選手情報!$A$6:$M$119,AJ93,0),13,FALSE)),"")</f>
        <v/>
      </c>
      <c r="AL93" s="127" t="str">
        <f ca="1">IF(AJ93&lt;&gt;"",IF(ISNA(VLOOKUP($N93,OFFSET(選手情報!$A$6:$BD$119,AJ93,0),56,FALSE)),"",VLOOKUP($N93,OFFSET(選手情報!$A$6:$BD$119,AJ93,0),56,FALSE)),"")</f>
        <v/>
      </c>
      <c r="AM93" s="127" t="str">
        <f ca="1">IF(AL93&lt;&gt;"",IF(ISNA(VLOOKUP($N93,OFFSET(選手情報!$A$6:$M$119,AL93,0),13,FALSE)),"","/"&amp;VLOOKUP($N93,OFFSET(選手情報!$A$6:$M$119,AL93,0),13,FALSE)),"")</f>
        <v/>
      </c>
      <c r="AN93" s="127" t="str">
        <f ca="1">IF(AL93&lt;&gt;"",IF(ISNA(VLOOKUP($N93,OFFSET(選手情報!$A$6:$BD$119,AL93,0),56,FALSE)),"",VLOOKUP($N93,OFFSET(選手情報!$A$6:$BD$119,AL93,0),56,FALSE)),"")</f>
        <v/>
      </c>
      <c r="AO93" s="127" t="str">
        <f ca="1">IF(AN93&lt;&gt;"",IF(ISNA(VLOOKUP($N93,OFFSET(選手情報!$A$6:$M$119,AN93,0),13,FALSE)),"","/"&amp;VLOOKUP($N93,OFFSET(選手情報!$A$6:$M$119,AN93,0),13,FALSE)),"")</f>
        <v/>
      </c>
      <c r="AP93" s="127" t="str">
        <f ca="1">IF(AN93&lt;&gt;"",IF(ISNA(VLOOKUP($N93,OFFSET(選手情報!$A$6:$BD$119,AN93,0),56,FALSE)),"",VLOOKUP($N93,OFFSET(選手情報!$A$6:$BD$119,AN93,0),56,FALSE)),"")</f>
        <v/>
      </c>
      <c r="AQ93" s="127" t="str">
        <f ca="1">IF(AP93&lt;&gt;"",IF(ISNA(VLOOKUP($N93,OFFSET(選手情報!$A$6:$M$119,AP93,0),13,FALSE)),"","/"&amp;VLOOKUP($N93,OFFSET(選手情報!$A$6:$M$119,AP93,0),13,FALSE)),"")</f>
        <v/>
      </c>
      <c r="AR93" s="127" t="str">
        <f ca="1">IF(AP93&lt;&gt;"",IF(ISNA(VLOOKUP($N93,OFFSET(選手情報!$A$6:$BD$119,AP93,0),56,FALSE)),"",VLOOKUP($N93,OFFSET(選手情報!$A$6:$BD$119,AP93,0),56,FALSE)),"")</f>
        <v/>
      </c>
      <c r="AS93" s="127" t="str">
        <f ca="1">IF(AR93&lt;&gt;"",IF(ISNA(VLOOKUP($N93,OFFSET(選手情報!$A$6:$M$119,AR93,0),13,FALSE)),"","/"&amp;VLOOKUP($N93,OFFSET(選手情報!$A$6:$M$119,AR93,0),13,FALSE)),"")</f>
        <v/>
      </c>
      <c r="AT93" s="127" t="str">
        <f ca="1">IF(AR93&lt;&gt;"",IF(ISNA(VLOOKUP($N93,OFFSET(選手情報!$A$6:$BD$119,AR93,0),56,FALSE)),"",VLOOKUP($N93,OFFSET(選手情報!$A$6:$BD$119,AR93,0),56,FALSE)),"")</f>
        <v/>
      </c>
      <c r="AU93" s="127" t="str">
        <f ca="1">IF(AT93&lt;&gt;"",IF(ISNA(VLOOKUP($N93,OFFSET(選手情報!$A$6:$M$119,AT93,0),13,FALSE)),"","/"&amp;VLOOKUP($N93,OFFSET(選手情報!$A$6:$M$119,AT93,0),13,FALSE)),"")</f>
        <v/>
      </c>
      <c r="AV93" s="127" t="str">
        <f ca="1">IF(AT93&lt;&gt;"",IF(ISNA(VLOOKUP($N93,OFFSET(選手情報!$A$6:$BD$119,AT93,0),56,FALSE)),"",VLOOKUP($N93,OFFSET(選手情報!$A$6:$BD$119,AT93,0),56,FALSE)),"")</f>
        <v/>
      </c>
      <c r="AW93" s="127" t="str">
        <f ca="1">IF(AV93&lt;&gt;"",IF(ISNA(VLOOKUP($N93,OFFSET(選手情報!$A$6:$M$119,AV93,0),13,FALSE)),"","/"&amp;VLOOKUP($N93,OFFSET(選手情報!$A$6:$M$119,AV93,0),13,FALSE)),"")</f>
        <v/>
      </c>
      <c r="AX93" s="127" t="str">
        <f ca="1">IF(AV93&lt;&gt;"",IF(ISNA(VLOOKUP($N93,OFFSET(選手情報!$A$6:$BD$119,AV93,0),56,FALSE)),"",VLOOKUP($N93,OFFSET(選手情報!$A$6:$BD$119,AV93,0),56,FALSE)),"")</f>
        <v/>
      </c>
      <c r="AY93" s="127" t="str">
        <f ca="1">IF(AX93&lt;&gt;"",IF(ISNA(VLOOKUP($N93,OFFSET(選手情報!$A$6:$M$119,AX93,0),13,FALSE)),"","/"&amp;VLOOKUP($N93,OFFSET(選手情報!$A$6:$M$119,AX93,0),13,FALSE)),"")</f>
        <v/>
      </c>
      <c r="AZ93" s="127" t="str">
        <f ca="1">IF(AX93&lt;&gt;"",IF(ISNA(VLOOKUP($N93,OFFSET(選手情報!$A$6:$BD$119,AX93,0),56,FALSE)),"",VLOOKUP($N93,OFFSET(選手情報!$A$6:$BD$119,AX93,0),56,FALSE)),"")</f>
        <v/>
      </c>
      <c r="BA93" s="127" t="str">
        <f ca="1">IF(AZ93&lt;&gt;"",IF(ISNA(VLOOKUP($N93,OFFSET(選手情報!$A$6:$M$119,AZ93,0),13,FALSE)),"","/"&amp;VLOOKUP($N93,OFFSET(選手情報!$A$6:$M$119,AZ93,0),13,FALSE)),"")</f>
        <v/>
      </c>
      <c r="BB93" s="127" t="str">
        <f ca="1">IF(AZ93&lt;&gt;"",IF(ISNA(VLOOKUP($N93,OFFSET(選手情報!$A$6:$BD$119,AZ93,0),56,FALSE)),"",VLOOKUP($N93,OFFSET(選手情報!$A$6:$BD$119,AZ93,0),56,FALSE)),"")</f>
        <v/>
      </c>
      <c r="BC93" s="127" t="str">
        <f ca="1">IF(BB93&lt;&gt;"",IF(ISNA(VLOOKUP($N93,OFFSET(選手情報!$A$6:$M$119,BB93,0),13,FALSE)),"","/"&amp;VLOOKUP($N93,OFFSET(選手情報!$A$6:$M$119,BB93,0),13,FALSE)),"")</f>
        <v/>
      </c>
      <c r="BD93" s="127" t="str">
        <f ca="1">IF(BB93&lt;&gt;"",IF(ISNA(VLOOKUP($N93,OFFSET(選手情報!$A$6:$BD$119,BB93,0),56,FALSE)),"",VLOOKUP($N93,OFFSET(選手情報!$A$6:$BD$119,BB93,0),56,FALSE)),"")</f>
        <v/>
      </c>
      <c r="BE93" s="127" t="str">
        <f ca="1">IF(BD93&lt;&gt;"",IF(ISNA(VLOOKUP($N93,OFFSET(選手情報!$A$6:$M$119,BD93,0),13,FALSE)),"","/"&amp;VLOOKUP($N93,OFFSET(選手情報!$A$6:$M$119,BD93,0),13,FALSE)),"")</f>
        <v/>
      </c>
      <c r="BF93" s="127" t="str">
        <f ca="1">IF(BD93&lt;&gt;"",IF(ISNA(VLOOKUP($N93,OFFSET(選手情報!$A$6:$BD$119,BD93,0),56,FALSE)),"",VLOOKUP($N93,OFFSET(選手情報!$A$6:$BD$119,BD93,0),56,FALSE)),"")</f>
        <v/>
      </c>
      <c r="BG93" s="127" t="str">
        <f ca="1">IF(BF93&lt;&gt;"",IF(ISNA(VLOOKUP($N93,OFFSET(選手情報!$A$6:$M$119,BF93,0),13,FALSE)),"","/"&amp;VLOOKUP($N93,OFFSET(選手情報!$A$6:$M$119,BF93,0),13,FALSE)),"")</f>
        <v/>
      </c>
      <c r="BH93" s="127" t="str">
        <f ca="1">IF(BF93&lt;&gt;"",IF(ISNA(VLOOKUP($N93,OFFSET(選手情報!$A$6:$BD$119,BF93,0),56,FALSE)),"",VLOOKUP($N93,OFFSET(選手情報!$A$6:$BD$119,BF93,0),56,FALSE)),"")</f>
        <v/>
      </c>
      <c r="BI93" s="127" t="str">
        <f ca="1">IF(BH93&lt;&gt;"",IF(ISNA(VLOOKUP($N93,OFFSET(選手情報!$A$6:$M$119,BH93,0),13,FALSE)),"","/"&amp;VLOOKUP($N93,OFFSET(選手情報!$A$6:$M$119,BH93,0),13,FALSE)),"")</f>
        <v/>
      </c>
    </row>
    <row r="94" spans="1:61" s="127" customFormat="1" ht="12.6" customHeight="1">
      <c r="A94" s="128" t="str">
        <f>IF(ISNA(VLOOKUP($C$2&amp;N94,選手データ!A:H,3,FALSE)),"",IF(M94&lt;&gt;M87,VLOOKUP($C$2&amp;N94,選手データ!A:H,3,FALSE),""))</f>
        <v/>
      </c>
      <c r="B94" s="129" t="str">
        <f>IF(A94&lt;&gt;"",VLOOKUP($C$2&amp;N94,選手データ!A:H,4,FALSE),"")</f>
        <v/>
      </c>
      <c r="C94" s="129" t="str">
        <f>IF(A94&lt;&gt;"",VLOOKUP($C$2&amp;N94,選手データ!A:H,5,FALSE),"")</f>
        <v/>
      </c>
      <c r="D94" s="129" t="str">
        <f>IF(A94&lt;&gt;"",VLOOKUP($C$2&amp;N94,選手データ!A:H,6,FALSE),"")</f>
        <v/>
      </c>
      <c r="E94" s="129" t="str">
        <f>IF(A94&lt;&gt;"",VLOOKUP($C$2&amp;N94,選手データ!A:H,7,FALSE),"")</f>
        <v/>
      </c>
      <c r="F94" s="130" t="str">
        <f>IF(A94&lt;&gt;"",VLOOKUP($C$2&amp;N94,選手データ!A:H,8,FALSE),"")</f>
        <v/>
      </c>
      <c r="G94" s="130" t="str">
        <f>IF(F94&lt;&gt;"",IF(DATEDIF(F94,設定!$B$12,"Y")&lt;20,"〇",""),"")</f>
        <v/>
      </c>
      <c r="H94" s="131" t="str">
        <f t="shared" ca="1" si="7"/>
        <v/>
      </c>
      <c r="I94" s="132" t="str">
        <f t="shared" ca="1" si="8"/>
        <v/>
      </c>
      <c r="J94" s="131" t="str">
        <f t="shared" ca="1" si="9"/>
        <v/>
      </c>
      <c r="K94" s="130" t="str">
        <f>IF(A94&lt;&gt;"",IF(COUNTIF(リレーチーム情報!$B$5:$B$10,A94&amp;E94)=1,"〇",""),"")</f>
        <v/>
      </c>
      <c r="L94" s="133" t="str">
        <f>IF(A94&lt;&gt;"",IF(COUNTIF(リレーチーム情報!$B$11:$B$16,A94&amp;E94)=1,"〇",""),"")</f>
        <v/>
      </c>
      <c r="M94" s="127">
        <f>IF(学校情報!$A$4&lt;&gt;"",0,IF(S93=0,MAX($M$37:M93)+1,M93))</f>
        <v>0</v>
      </c>
      <c r="N94" s="127" t="str">
        <f>IF(M94&lt;&gt;0,VLOOKUP(M94,選手情報!BF:BG,2,FALSE),"")</f>
        <v/>
      </c>
      <c r="O94" s="127" t="str">
        <f ca="1">IF(M94&lt;&gt;0,VLOOKUP(N94,OFFSET(選手情報!$A$6:$W$119,IF(M94&lt;&gt;M93,0,R93),0),13,FALSE),"")</f>
        <v/>
      </c>
      <c r="P94" s="127" t="str">
        <f ca="1">IF(M94&lt;&gt;0,VLOOKUP(N94,OFFSET(選手情報!$A$6:$W$119,IF(M94&lt;&gt;M93,0,R93),0),16,FALSE),"")</f>
        <v/>
      </c>
      <c r="Q94" s="127" t="str">
        <f ca="1">IF(M94&lt;&gt;0,VLOOKUP(N94,OFFSET(選手情報!$A$6:$W$119,IF(M94&lt;&gt;M93,0,R93),0),21,FALSE),"")</f>
        <v/>
      </c>
      <c r="R94" s="127">
        <f ca="1">IF(M94&lt;&gt;0,VLOOKUP(N94,OFFSET(選手情報!$A$6:$BD$119,IF(M94&lt;&gt;M93,0,R93),0),56,FALSE),0)</f>
        <v>0</v>
      </c>
      <c r="S94" s="127">
        <f ca="1">IF(M94&lt;&gt;0,IF(ISNA(R94),0,COUNTIF(OFFSET(選手情報!$A$6:$A$119,R94,0),N94)),0)</f>
        <v>0</v>
      </c>
      <c r="U94" s="127">
        <f t="shared" si="10"/>
        <v>0</v>
      </c>
      <c r="V94" s="127">
        <f t="shared" ca="1" si="4"/>
        <v>1</v>
      </c>
      <c r="W94" s="127">
        <f t="shared" ca="1" si="5"/>
        <v>0</v>
      </c>
      <c r="X94" s="127" t="str">
        <f t="shared" ca="1" si="6"/>
        <v/>
      </c>
      <c r="Y94" s="127" t="str">
        <f>IF($A94&lt;&gt;"",IF(ISNA(VLOOKUP($N94,選手情報!$A$6:$M$119,13,FALSE)),"","/"&amp;VLOOKUP($N94,選手情報!$A$6:$M$119,13,FALSE)),"")</f>
        <v/>
      </c>
      <c r="Z94" s="127" t="str">
        <f ca="1">IF(Y94&lt;&gt;"",IF(ISNA(VLOOKUP($N94,OFFSET(選手情報!$A$6:$BD$119,0,0),56,FALSE)),"",VLOOKUP($N94,OFFSET(選手情報!$A$6:$BD$119,0,0),56,FALSE)),"")</f>
        <v/>
      </c>
      <c r="AA94" s="127" t="str">
        <f ca="1">IF(Z94&lt;&gt;"",IF(ISNA(VLOOKUP($N94,OFFSET(選手情報!$A$6:$M$119,Z94,0),13,FALSE)),"","/"&amp;VLOOKUP($N94,OFFSET(選手情報!$A$6:$M$119,Z94,0),13,FALSE)),"")</f>
        <v/>
      </c>
      <c r="AB94" s="127" t="str">
        <f ca="1">IF(Z94&lt;&gt;"",IF(ISNA(VLOOKUP($N94,OFFSET(選手情報!$A$6:$BD$119,Z94,0),56,FALSE)),"",VLOOKUP($N94,OFFSET(選手情報!$A$6:$BD$119,Z94,0),56,FALSE)),"")</f>
        <v/>
      </c>
      <c r="AC94" s="127" t="str">
        <f ca="1">IF(AB94&lt;&gt;"",IF(ISNA(VLOOKUP($N94,OFFSET(選手情報!$A$6:$M$119,AB94,0),13,FALSE)),"","/"&amp;VLOOKUP($N94,OFFSET(選手情報!$A$6:$M$119,AB94,0),13,FALSE)),"")</f>
        <v/>
      </c>
      <c r="AD94" s="127" t="str">
        <f ca="1">IF(AB94&lt;&gt;"",IF(ISNA(VLOOKUP($N94,OFFSET(選手情報!$A$6:$BD$119,AB94,0),56,FALSE)),"",VLOOKUP($N94,OFFSET(選手情報!$A$6:$BD$119,AB94,0),56,FALSE)),"")</f>
        <v/>
      </c>
      <c r="AE94" s="127" t="str">
        <f ca="1">IF(AD94&lt;&gt;"",IF(ISNA(VLOOKUP($N94,OFFSET(選手情報!$A$6:$M$119,AD94,0),13,FALSE)),"","/"&amp;VLOOKUP($N94,OFFSET(選手情報!$A$6:$M$119,AD94,0),13,FALSE)),"")</f>
        <v/>
      </c>
      <c r="AF94" s="127" t="str">
        <f ca="1">IF(AD94&lt;&gt;"",IF(ISNA(VLOOKUP($N94,OFFSET(選手情報!$A$6:$BD$119,AD94,0),56,FALSE)),"",VLOOKUP($N94,OFFSET(選手情報!$A$6:$BD$119,AD94,0),56,FALSE)),"")</f>
        <v/>
      </c>
      <c r="AG94" s="127" t="str">
        <f ca="1">IF(AF94&lt;&gt;"",IF(ISNA(VLOOKUP($N94,OFFSET(選手情報!$A$6:$M$119,AF94,0),13,FALSE)),"","/"&amp;VLOOKUP($N94,OFFSET(選手情報!$A$6:$M$119,AF94,0),13,FALSE)),"")</f>
        <v/>
      </c>
      <c r="AH94" s="127" t="str">
        <f ca="1">IF(AF94&lt;&gt;"",IF(ISNA(VLOOKUP($N94,OFFSET(選手情報!$A$6:$BD$119,AF94,0),56,FALSE)),"",VLOOKUP($N94,OFFSET(選手情報!$A$6:$BD$119,AF94,0),56,FALSE)),"")</f>
        <v/>
      </c>
      <c r="AI94" s="127" t="str">
        <f ca="1">IF(AH94&lt;&gt;"",IF(ISNA(VLOOKUP($N94,OFFSET(選手情報!$A$6:$M$119,AH94,0),13,FALSE)),"","/"&amp;VLOOKUP($N94,OFFSET(選手情報!$A$6:$M$119,AH94,0),13,FALSE)),"")</f>
        <v/>
      </c>
      <c r="AJ94" s="127" t="str">
        <f ca="1">IF(AH94&lt;&gt;"",IF(ISNA(VLOOKUP($N94,OFFSET(選手情報!$A$6:$BD$119,AH94,0),56,FALSE)),"",VLOOKUP($N94,OFFSET(選手情報!$A$6:$BD$119,AH94,0),56,FALSE)),"")</f>
        <v/>
      </c>
      <c r="AK94" s="127" t="str">
        <f ca="1">IF(AJ94&lt;&gt;"",IF(ISNA(VLOOKUP($N94,OFFSET(選手情報!$A$6:$M$119,AJ94,0),13,FALSE)),"","/"&amp;VLOOKUP($N94,OFFSET(選手情報!$A$6:$M$119,AJ94,0),13,FALSE)),"")</f>
        <v/>
      </c>
      <c r="AL94" s="127" t="str">
        <f ca="1">IF(AJ94&lt;&gt;"",IF(ISNA(VLOOKUP($N94,OFFSET(選手情報!$A$6:$BD$119,AJ94,0),56,FALSE)),"",VLOOKUP($N94,OFFSET(選手情報!$A$6:$BD$119,AJ94,0),56,FALSE)),"")</f>
        <v/>
      </c>
      <c r="AM94" s="127" t="str">
        <f ca="1">IF(AL94&lt;&gt;"",IF(ISNA(VLOOKUP($N94,OFFSET(選手情報!$A$6:$M$119,AL94,0),13,FALSE)),"","/"&amp;VLOOKUP($N94,OFFSET(選手情報!$A$6:$M$119,AL94,0),13,FALSE)),"")</f>
        <v/>
      </c>
      <c r="AN94" s="127" t="str">
        <f ca="1">IF(AL94&lt;&gt;"",IF(ISNA(VLOOKUP($N94,OFFSET(選手情報!$A$6:$BD$119,AL94,0),56,FALSE)),"",VLOOKUP($N94,OFFSET(選手情報!$A$6:$BD$119,AL94,0),56,FALSE)),"")</f>
        <v/>
      </c>
      <c r="AO94" s="127" t="str">
        <f ca="1">IF(AN94&lt;&gt;"",IF(ISNA(VLOOKUP($N94,OFFSET(選手情報!$A$6:$M$119,AN94,0),13,FALSE)),"","/"&amp;VLOOKUP($N94,OFFSET(選手情報!$A$6:$M$119,AN94,0),13,FALSE)),"")</f>
        <v/>
      </c>
      <c r="AP94" s="127" t="str">
        <f ca="1">IF(AN94&lt;&gt;"",IF(ISNA(VLOOKUP($N94,OFFSET(選手情報!$A$6:$BD$119,AN94,0),56,FALSE)),"",VLOOKUP($N94,OFFSET(選手情報!$A$6:$BD$119,AN94,0),56,FALSE)),"")</f>
        <v/>
      </c>
      <c r="AQ94" s="127" t="str">
        <f ca="1">IF(AP94&lt;&gt;"",IF(ISNA(VLOOKUP($N94,OFFSET(選手情報!$A$6:$M$119,AP94,0),13,FALSE)),"","/"&amp;VLOOKUP($N94,OFFSET(選手情報!$A$6:$M$119,AP94,0),13,FALSE)),"")</f>
        <v/>
      </c>
      <c r="AR94" s="127" t="str">
        <f ca="1">IF(AP94&lt;&gt;"",IF(ISNA(VLOOKUP($N94,OFFSET(選手情報!$A$6:$BD$119,AP94,0),56,FALSE)),"",VLOOKUP($N94,OFFSET(選手情報!$A$6:$BD$119,AP94,0),56,FALSE)),"")</f>
        <v/>
      </c>
      <c r="AS94" s="127" t="str">
        <f ca="1">IF(AR94&lt;&gt;"",IF(ISNA(VLOOKUP($N94,OFFSET(選手情報!$A$6:$M$119,AR94,0),13,FALSE)),"","/"&amp;VLOOKUP($N94,OFFSET(選手情報!$A$6:$M$119,AR94,0),13,FALSE)),"")</f>
        <v/>
      </c>
      <c r="AT94" s="127" t="str">
        <f ca="1">IF(AR94&lt;&gt;"",IF(ISNA(VLOOKUP($N94,OFFSET(選手情報!$A$6:$BD$119,AR94,0),56,FALSE)),"",VLOOKUP($N94,OFFSET(選手情報!$A$6:$BD$119,AR94,0),56,FALSE)),"")</f>
        <v/>
      </c>
      <c r="AU94" s="127" t="str">
        <f ca="1">IF(AT94&lt;&gt;"",IF(ISNA(VLOOKUP($N94,OFFSET(選手情報!$A$6:$M$119,AT94,0),13,FALSE)),"","/"&amp;VLOOKUP($N94,OFFSET(選手情報!$A$6:$M$119,AT94,0),13,FALSE)),"")</f>
        <v/>
      </c>
      <c r="AV94" s="127" t="str">
        <f ca="1">IF(AT94&lt;&gt;"",IF(ISNA(VLOOKUP($N94,OFFSET(選手情報!$A$6:$BD$119,AT94,0),56,FALSE)),"",VLOOKUP($N94,OFFSET(選手情報!$A$6:$BD$119,AT94,0),56,FALSE)),"")</f>
        <v/>
      </c>
      <c r="AW94" s="127" t="str">
        <f ca="1">IF(AV94&lt;&gt;"",IF(ISNA(VLOOKUP($N94,OFFSET(選手情報!$A$6:$M$119,AV94,0),13,FALSE)),"","/"&amp;VLOOKUP($N94,OFFSET(選手情報!$A$6:$M$119,AV94,0),13,FALSE)),"")</f>
        <v/>
      </c>
      <c r="AX94" s="127" t="str">
        <f ca="1">IF(AV94&lt;&gt;"",IF(ISNA(VLOOKUP($N94,OFFSET(選手情報!$A$6:$BD$119,AV94,0),56,FALSE)),"",VLOOKUP($N94,OFFSET(選手情報!$A$6:$BD$119,AV94,0),56,FALSE)),"")</f>
        <v/>
      </c>
      <c r="AY94" s="127" t="str">
        <f ca="1">IF(AX94&lt;&gt;"",IF(ISNA(VLOOKUP($N94,OFFSET(選手情報!$A$6:$M$119,AX94,0),13,FALSE)),"","/"&amp;VLOOKUP($N94,OFFSET(選手情報!$A$6:$M$119,AX94,0),13,FALSE)),"")</f>
        <v/>
      </c>
      <c r="AZ94" s="127" t="str">
        <f ca="1">IF(AX94&lt;&gt;"",IF(ISNA(VLOOKUP($N94,OFFSET(選手情報!$A$6:$BD$119,AX94,0),56,FALSE)),"",VLOOKUP($N94,OFFSET(選手情報!$A$6:$BD$119,AX94,0),56,FALSE)),"")</f>
        <v/>
      </c>
      <c r="BA94" s="127" t="str">
        <f ca="1">IF(AZ94&lt;&gt;"",IF(ISNA(VLOOKUP($N94,OFFSET(選手情報!$A$6:$M$119,AZ94,0),13,FALSE)),"","/"&amp;VLOOKUP($N94,OFFSET(選手情報!$A$6:$M$119,AZ94,0),13,FALSE)),"")</f>
        <v/>
      </c>
      <c r="BB94" s="127" t="str">
        <f ca="1">IF(AZ94&lt;&gt;"",IF(ISNA(VLOOKUP($N94,OFFSET(選手情報!$A$6:$BD$119,AZ94,0),56,FALSE)),"",VLOOKUP($N94,OFFSET(選手情報!$A$6:$BD$119,AZ94,0),56,FALSE)),"")</f>
        <v/>
      </c>
      <c r="BC94" s="127" t="str">
        <f ca="1">IF(BB94&lt;&gt;"",IF(ISNA(VLOOKUP($N94,OFFSET(選手情報!$A$6:$M$119,BB94,0),13,FALSE)),"","/"&amp;VLOOKUP($N94,OFFSET(選手情報!$A$6:$M$119,BB94,0),13,FALSE)),"")</f>
        <v/>
      </c>
      <c r="BD94" s="127" t="str">
        <f ca="1">IF(BB94&lt;&gt;"",IF(ISNA(VLOOKUP($N94,OFFSET(選手情報!$A$6:$BD$119,BB94,0),56,FALSE)),"",VLOOKUP($N94,OFFSET(選手情報!$A$6:$BD$119,BB94,0),56,FALSE)),"")</f>
        <v/>
      </c>
      <c r="BE94" s="127" t="str">
        <f ca="1">IF(BD94&lt;&gt;"",IF(ISNA(VLOOKUP($N94,OFFSET(選手情報!$A$6:$M$119,BD94,0),13,FALSE)),"","/"&amp;VLOOKUP($N94,OFFSET(選手情報!$A$6:$M$119,BD94,0),13,FALSE)),"")</f>
        <v/>
      </c>
      <c r="BF94" s="127" t="str">
        <f ca="1">IF(BD94&lt;&gt;"",IF(ISNA(VLOOKUP($N94,OFFSET(選手情報!$A$6:$BD$119,BD94,0),56,FALSE)),"",VLOOKUP($N94,OFFSET(選手情報!$A$6:$BD$119,BD94,0),56,FALSE)),"")</f>
        <v/>
      </c>
      <c r="BG94" s="127" t="str">
        <f ca="1">IF(BF94&lt;&gt;"",IF(ISNA(VLOOKUP($N94,OFFSET(選手情報!$A$6:$M$119,BF94,0),13,FALSE)),"","/"&amp;VLOOKUP($N94,OFFSET(選手情報!$A$6:$M$119,BF94,0),13,FALSE)),"")</f>
        <v/>
      </c>
      <c r="BH94" s="127" t="str">
        <f ca="1">IF(BF94&lt;&gt;"",IF(ISNA(VLOOKUP($N94,OFFSET(選手情報!$A$6:$BD$119,BF94,0),56,FALSE)),"",VLOOKUP($N94,OFFSET(選手情報!$A$6:$BD$119,BF94,0),56,FALSE)),"")</f>
        <v/>
      </c>
      <c r="BI94" s="127" t="str">
        <f ca="1">IF(BH94&lt;&gt;"",IF(ISNA(VLOOKUP($N94,OFFSET(選手情報!$A$6:$M$119,BH94,0),13,FALSE)),"","/"&amp;VLOOKUP($N94,OFFSET(選手情報!$A$6:$M$119,BH94,0),13,FALSE)),"")</f>
        <v/>
      </c>
    </row>
    <row r="95" spans="1:61" s="127" customFormat="1" ht="12.6" customHeight="1">
      <c r="A95" s="128" t="str">
        <f>IF(ISNA(VLOOKUP($C$2&amp;N95,選手データ!A:H,3,FALSE)),"",IF(M95&lt;&gt;M88,VLOOKUP($C$2&amp;N95,選手データ!A:H,3,FALSE),""))</f>
        <v/>
      </c>
      <c r="B95" s="129" t="str">
        <f>IF(A95&lt;&gt;"",VLOOKUP($C$2&amp;N95,選手データ!A:H,4,FALSE),"")</f>
        <v/>
      </c>
      <c r="C95" s="129" t="str">
        <f>IF(A95&lt;&gt;"",VLOOKUP($C$2&amp;N95,選手データ!A:H,5,FALSE),"")</f>
        <v/>
      </c>
      <c r="D95" s="129" t="str">
        <f>IF(A95&lt;&gt;"",VLOOKUP($C$2&amp;N95,選手データ!A:H,6,FALSE),"")</f>
        <v/>
      </c>
      <c r="E95" s="129" t="str">
        <f>IF(A95&lt;&gt;"",VLOOKUP($C$2&amp;N95,選手データ!A:H,7,FALSE),"")</f>
        <v/>
      </c>
      <c r="F95" s="130" t="str">
        <f>IF(A95&lt;&gt;"",VLOOKUP($C$2&amp;N95,選手データ!A:H,8,FALSE),"")</f>
        <v/>
      </c>
      <c r="G95" s="130" t="str">
        <f>IF(F95&lt;&gt;"",IF(DATEDIF(F95,設定!$B$12,"Y")&lt;20,"〇",""),"")</f>
        <v/>
      </c>
      <c r="H95" s="131" t="str">
        <f t="shared" ca="1" si="7"/>
        <v/>
      </c>
      <c r="I95" s="132" t="str">
        <f t="shared" ca="1" si="8"/>
        <v/>
      </c>
      <c r="J95" s="131" t="str">
        <f t="shared" ca="1" si="9"/>
        <v/>
      </c>
      <c r="K95" s="130" t="str">
        <f>IF(A95&lt;&gt;"",IF(COUNTIF(リレーチーム情報!$B$5:$B$10,A95&amp;E95)=1,"〇",""),"")</f>
        <v/>
      </c>
      <c r="L95" s="133" t="str">
        <f>IF(A95&lt;&gt;"",IF(COUNTIF(リレーチーム情報!$B$11:$B$16,A95&amp;E95)=1,"〇",""),"")</f>
        <v/>
      </c>
      <c r="M95" s="127">
        <f>IF(学校情報!$A$4&lt;&gt;"",0,IF(S94=0,MAX($M$37:M94)+1,M94))</f>
        <v>0</v>
      </c>
      <c r="N95" s="127" t="str">
        <f>IF(M95&lt;&gt;0,VLOOKUP(M95,選手情報!BF:BG,2,FALSE),"")</f>
        <v/>
      </c>
      <c r="O95" s="127" t="str">
        <f ca="1">IF(M95&lt;&gt;0,VLOOKUP(N95,OFFSET(選手情報!$A$6:$W$119,IF(M95&lt;&gt;M94,0,R94),0),13,FALSE),"")</f>
        <v/>
      </c>
      <c r="P95" s="127" t="str">
        <f ca="1">IF(M95&lt;&gt;0,VLOOKUP(N95,OFFSET(選手情報!$A$6:$W$119,IF(M95&lt;&gt;M94,0,R94),0),16,FALSE),"")</f>
        <v/>
      </c>
      <c r="Q95" s="127" t="str">
        <f ca="1">IF(M95&lt;&gt;0,VLOOKUP(N95,OFFSET(選手情報!$A$6:$W$119,IF(M95&lt;&gt;M94,0,R94),0),21,FALSE),"")</f>
        <v/>
      </c>
      <c r="R95" s="127">
        <f ca="1">IF(M95&lt;&gt;0,VLOOKUP(N95,OFFSET(選手情報!$A$6:$BD$119,IF(M95&lt;&gt;M94,0,R94),0),56,FALSE),0)</f>
        <v>0</v>
      </c>
      <c r="S95" s="127">
        <f ca="1">IF(M95&lt;&gt;0,IF(ISNA(R95),0,COUNTIF(OFFSET(選手情報!$A$6:$A$119,R95,0),N95)),0)</f>
        <v>0</v>
      </c>
      <c r="U95" s="127">
        <f t="shared" si="10"/>
        <v>0</v>
      </c>
      <c r="V95" s="127">
        <f t="shared" ca="1" si="4"/>
        <v>1</v>
      </c>
      <c r="W95" s="127">
        <f t="shared" ca="1" si="5"/>
        <v>0</v>
      </c>
      <c r="X95" s="127" t="str">
        <f t="shared" ca="1" si="6"/>
        <v/>
      </c>
      <c r="Y95" s="127" t="str">
        <f>IF($A95&lt;&gt;"",IF(ISNA(VLOOKUP($N95,選手情報!$A$6:$M$119,13,FALSE)),"","/"&amp;VLOOKUP($N95,選手情報!$A$6:$M$119,13,FALSE)),"")</f>
        <v/>
      </c>
      <c r="Z95" s="127" t="str">
        <f ca="1">IF(Y95&lt;&gt;"",IF(ISNA(VLOOKUP($N95,OFFSET(選手情報!$A$6:$BD$119,0,0),56,FALSE)),"",VLOOKUP($N95,OFFSET(選手情報!$A$6:$BD$119,0,0),56,FALSE)),"")</f>
        <v/>
      </c>
      <c r="AA95" s="127" t="str">
        <f ca="1">IF(Z95&lt;&gt;"",IF(ISNA(VLOOKUP($N95,OFFSET(選手情報!$A$6:$M$119,Z95,0),13,FALSE)),"","/"&amp;VLOOKUP($N95,OFFSET(選手情報!$A$6:$M$119,Z95,0),13,FALSE)),"")</f>
        <v/>
      </c>
      <c r="AB95" s="127" t="str">
        <f ca="1">IF(Z95&lt;&gt;"",IF(ISNA(VLOOKUP($N95,OFFSET(選手情報!$A$6:$BD$119,Z95,0),56,FALSE)),"",VLOOKUP($N95,OFFSET(選手情報!$A$6:$BD$119,Z95,0),56,FALSE)),"")</f>
        <v/>
      </c>
      <c r="AC95" s="127" t="str">
        <f ca="1">IF(AB95&lt;&gt;"",IF(ISNA(VLOOKUP($N95,OFFSET(選手情報!$A$6:$M$119,AB95,0),13,FALSE)),"","/"&amp;VLOOKUP($N95,OFFSET(選手情報!$A$6:$M$119,AB95,0),13,FALSE)),"")</f>
        <v/>
      </c>
      <c r="AD95" s="127" t="str">
        <f ca="1">IF(AB95&lt;&gt;"",IF(ISNA(VLOOKUP($N95,OFFSET(選手情報!$A$6:$BD$119,AB95,0),56,FALSE)),"",VLOOKUP($N95,OFFSET(選手情報!$A$6:$BD$119,AB95,0),56,FALSE)),"")</f>
        <v/>
      </c>
      <c r="AE95" s="127" t="str">
        <f ca="1">IF(AD95&lt;&gt;"",IF(ISNA(VLOOKUP($N95,OFFSET(選手情報!$A$6:$M$119,AD95,0),13,FALSE)),"","/"&amp;VLOOKUP($N95,OFFSET(選手情報!$A$6:$M$119,AD95,0),13,FALSE)),"")</f>
        <v/>
      </c>
      <c r="AF95" s="127" t="str">
        <f ca="1">IF(AD95&lt;&gt;"",IF(ISNA(VLOOKUP($N95,OFFSET(選手情報!$A$6:$BD$119,AD95,0),56,FALSE)),"",VLOOKUP($N95,OFFSET(選手情報!$A$6:$BD$119,AD95,0),56,FALSE)),"")</f>
        <v/>
      </c>
      <c r="AG95" s="127" t="str">
        <f ca="1">IF(AF95&lt;&gt;"",IF(ISNA(VLOOKUP($N95,OFFSET(選手情報!$A$6:$M$119,AF95,0),13,FALSE)),"","/"&amp;VLOOKUP($N95,OFFSET(選手情報!$A$6:$M$119,AF95,0),13,FALSE)),"")</f>
        <v/>
      </c>
      <c r="AH95" s="127" t="str">
        <f ca="1">IF(AF95&lt;&gt;"",IF(ISNA(VLOOKUP($N95,OFFSET(選手情報!$A$6:$BD$119,AF95,0),56,FALSE)),"",VLOOKUP($N95,OFFSET(選手情報!$A$6:$BD$119,AF95,0),56,FALSE)),"")</f>
        <v/>
      </c>
      <c r="AI95" s="127" t="str">
        <f ca="1">IF(AH95&lt;&gt;"",IF(ISNA(VLOOKUP($N95,OFFSET(選手情報!$A$6:$M$119,AH95,0),13,FALSE)),"","/"&amp;VLOOKUP($N95,OFFSET(選手情報!$A$6:$M$119,AH95,0),13,FALSE)),"")</f>
        <v/>
      </c>
      <c r="AJ95" s="127" t="str">
        <f ca="1">IF(AH95&lt;&gt;"",IF(ISNA(VLOOKUP($N95,OFFSET(選手情報!$A$6:$BD$119,AH95,0),56,FALSE)),"",VLOOKUP($N95,OFFSET(選手情報!$A$6:$BD$119,AH95,0),56,FALSE)),"")</f>
        <v/>
      </c>
      <c r="AK95" s="127" t="str">
        <f ca="1">IF(AJ95&lt;&gt;"",IF(ISNA(VLOOKUP($N95,OFFSET(選手情報!$A$6:$M$119,AJ95,0),13,FALSE)),"","/"&amp;VLOOKUP($N95,OFFSET(選手情報!$A$6:$M$119,AJ95,0),13,FALSE)),"")</f>
        <v/>
      </c>
      <c r="AL95" s="127" t="str">
        <f ca="1">IF(AJ95&lt;&gt;"",IF(ISNA(VLOOKUP($N95,OFFSET(選手情報!$A$6:$BD$119,AJ95,0),56,FALSE)),"",VLOOKUP($N95,OFFSET(選手情報!$A$6:$BD$119,AJ95,0),56,FALSE)),"")</f>
        <v/>
      </c>
      <c r="AM95" s="127" t="str">
        <f ca="1">IF(AL95&lt;&gt;"",IF(ISNA(VLOOKUP($N95,OFFSET(選手情報!$A$6:$M$119,AL95,0),13,FALSE)),"","/"&amp;VLOOKUP($N95,OFFSET(選手情報!$A$6:$M$119,AL95,0),13,FALSE)),"")</f>
        <v/>
      </c>
      <c r="AN95" s="127" t="str">
        <f ca="1">IF(AL95&lt;&gt;"",IF(ISNA(VLOOKUP($N95,OFFSET(選手情報!$A$6:$BD$119,AL95,0),56,FALSE)),"",VLOOKUP($N95,OFFSET(選手情報!$A$6:$BD$119,AL95,0),56,FALSE)),"")</f>
        <v/>
      </c>
      <c r="AO95" s="127" t="str">
        <f ca="1">IF(AN95&lt;&gt;"",IF(ISNA(VLOOKUP($N95,OFFSET(選手情報!$A$6:$M$119,AN95,0),13,FALSE)),"","/"&amp;VLOOKUP($N95,OFFSET(選手情報!$A$6:$M$119,AN95,0),13,FALSE)),"")</f>
        <v/>
      </c>
      <c r="AP95" s="127" t="str">
        <f ca="1">IF(AN95&lt;&gt;"",IF(ISNA(VLOOKUP($N95,OFFSET(選手情報!$A$6:$BD$119,AN95,0),56,FALSE)),"",VLOOKUP($N95,OFFSET(選手情報!$A$6:$BD$119,AN95,0),56,FALSE)),"")</f>
        <v/>
      </c>
      <c r="AQ95" s="127" t="str">
        <f ca="1">IF(AP95&lt;&gt;"",IF(ISNA(VLOOKUP($N95,OFFSET(選手情報!$A$6:$M$119,AP95,0),13,FALSE)),"","/"&amp;VLOOKUP($N95,OFFSET(選手情報!$A$6:$M$119,AP95,0),13,FALSE)),"")</f>
        <v/>
      </c>
      <c r="AR95" s="127" t="str">
        <f ca="1">IF(AP95&lt;&gt;"",IF(ISNA(VLOOKUP($N95,OFFSET(選手情報!$A$6:$BD$119,AP95,0),56,FALSE)),"",VLOOKUP($N95,OFFSET(選手情報!$A$6:$BD$119,AP95,0),56,FALSE)),"")</f>
        <v/>
      </c>
      <c r="AS95" s="127" t="str">
        <f ca="1">IF(AR95&lt;&gt;"",IF(ISNA(VLOOKUP($N95,OFFSET(選手情報!$A$6:$M$119,AR95,0),13,FALSE)),"","/"&amp;VLOOKUP($N95,OFFSET(選手情報!$A$6:$M$119,AR95,0),13,FALSE)),"")</f>
        <v/>
      </c>
      <c r="AT95" s="127" t="str">
        <f ca="1">IF(AR95&lt;&gt;"",IF(ISNA(VLOOKUP($N95,OFFSET(選手情報!$A$6:$BD$119,AR95,0),56,FALSE)),"",VLOOKUP($N95,OFFSET(選手情報!$A$6:$BD$119,AR95,0),56,FALSE)),"")</f>
        <v/>
      </c>
      <c r="AU95" s="127" t="str">
        <f ca="1">IF(AT95&lt;&gt;"",IF(ISNA(VLOOKUP($N95,OFFSET(選手情報!$A$6:$M$119,AT95,0),13,FALSE)),"","/"&amp;VLOOKUP($N95,OFFSET(選手情報!$A$6:$M$119,AT95,0),13,FALSE)),"")</f>
        <v/>
      </c>
      <c r="AV95" s="127" t="str">
        <f ca="1">IF(AT95&lt;&gt;"",IF(ISNA(VLOOKUP($N95,OFFSET(選手情報!$A$6:$BD$119,AT95,0),56,FALSE)),"",VLOOKUP($N95,OFFSET(選手情報!$A$6:$BD$119,AT95,0),56,FALSE)),"")</f>
        <v/>
      </c>
      <c r="AW95" s="127" t="str">
        <f ca="1">IF(AV95&lt;&gt;"",IF(ISNA(VLOOKUP($N95,OFFSET(選手情報!$A$6:$M$119,AV95,0),13,FALSE)),"","/"&amp;VLOOKUP($N95,OFFSET(選手情報!$A$6:$M$119,AV95,0),13,FALSE)),"")</f>
        <v/>
      </c>
      <c r="AX95" s="127" t="str">
        <f ca="1">IF(AV95&lt;&gt;"",IF(ISNA(VLOOKUP($N95,OFFSET(選手情報!$A$6:$BD$119,AV95,0),56,FALSE)),"",VLOOKUP($N95,OFFSET(選手情報!$A$6:$BD$119,AV95,0),56,FALSE)),"")</f>
        <v/>
      </c>
      <c r="AY95" s="127" t="str">
        <f ca="1">IF(AX95&lt;&gt;"",IF(ISNA(VLOOKUP($N95,OFFSET(選手情報!$A$6:$M$119,AX95,0),13,FALSE)),"","/"&amp;VLOOKUP($N95,OFFSET(選手情報!$A$6:$M$119,AX95,0),13,FALSE)),"")</f>
        <v/>
      </c>
      <c r="AZ95" s="127" t="str">
        <f ca="1">IF(AX95&lt;&gt;"",IF(ISNA(VLOOKUP($N95,OFFSET(選手情報!$A$6:$BD$119,AX95,0),56,FALSE)),"",VLOOKUP($N95,OFFSET(選手情報!$A$6:$BD$119,AX95,0),56,FALSE)),"")</f>
        <v/>
      </c>
      <c r="BA95" s="127" t="str">
        <f ca="1">IF(AZ95&lt;&gt;"",IF(ISNA(VLOOKUP($N95,OFFSET(選手情報!$A$6:$M$119,AZ95,0),13,FALSE)),"","/"&amp;VLOOKUP($N95,OFFSET(選手情報!$A$6:$M$119,AZ95,0),13,FALSE)),"")</f>
        <v/>
      </c>
      <c r="BB95" s="127" t="str">
        <f ca="1">IF(AZ95&lt;&gt;"",IF(ISNA(VLOOKUP($N95,OFFSET(選手情報!$A$6:$BD$119,AZ95,0),56,FALSE)),"",VLOOKUP($N95,OFFSET(選手情報!$A$6:$BD$119,AZ95,0),56,FALSE)),"")</f>
        <v/>
      </c>
      <c r="BC95" s="127" t="str">
        <f ca="1">IF(BB95&lt;&gt;"",IF(ISNA(VLOOKUP($N95,OFFSET(選手情報!$A$6:$M$119,BB95,0),13,FALSE)),"","/"&amp;VLOOKUP($N95,OFFSET(選手情報!$A$6:$M$119,BB95,0),13,FALSE)),"")</f>
        <v/>
      </c>
      <c r="BD95" s="127" t="str">
        <f ca="1">IF(BB95&lt;&gt;"",IF(ISNA(VLOOKUP($N95,OFFSET(選手情報!$A$6:$BD$119,BB95,0),56,FALSE)),"",VLOOKUP($N95,OFFSET(選手情報!$A$6:$BD$119,BB95,0),56,FALSE)),"")</f>
        <v/>
      </c>
      <c r="BE95" s="127" t="str">
        <f ca="1">IF(BD95&lt;&gt;"",IF(ISNA(VLOOKUP($N95,OFFSET(選手情報!$A$6:$M$119,BD95,0),13,FALSE)),"","/"&amp;VLOOKUP($N95,OFFSET(選手情報!$A$6:$M$119,BD95,0),13,FALSE)),"")</f>
        <v/>
      </c>
      <c r="BF95" s="127" t="str">
        <f ca="1">IF(BD95&lt;&gt;"",IF(ISNA(VLOOKUP($N95,OFFSET(選手情報!$A$6:$BD$119,BD95,0),56,FALSE)),"",VLOOKUP($N95,OFFSET(選手情報!$A$6:$BD$119,BD95,0),56,FALSE)),"")</f>
        <v/>
      </c>
      <c r="BG95" s="127" t="str">
        <f ca="1">IF(BF95&lt;&gt;"",IF(ISNA(VLOOKUP($N95,OFFSET(選手情報!$A$6:$M$119,BF95,0),13,FALSE)),"","/"&amp;VLOOKUP($N95,OFFSET(選手情報!$A$6:$M$119,BF95,0),13,FALSE)),"")</f>
        <v/>
      </c>
      <c r="BH95" s="127" t="str">
        <f ca="1">IF(BF95&lt;&gt;"",IF(ISNA(VLOOKUP($N95,OFFSET(選手情報!$A$6:$BD$119,BF95,0),56,FALSE)),"",VLOOKUP($N95,OFFSET(選手情報!$A$6:$BD$119,BF95,0),56,FALSE)),"")</f>
        <v/>
      </c>
      <c r="BI95" s="127" t="str">
        <f ca="1">IF(BH95&lt;&gt;"",IF(ISNA(VLOOKUP($N95,OFFSET(選手情報!$A$6:$M$119,BH95,0),13,FALSE)),"","/"&amp;VLOOKUP($N95,OFFSET(選手情報!$A$6:$M$119,BH95,0),13,FALSE)),"")</f>
        <v/>
      </c>
    </row>
    <row r="96" spans="1:61" s="127" customFormat="1" ht="12.6" customHeight="1">
      <c r="A96" s="128" t="str">
        <f>IF(ISNA(VLOOKUP($C$2&amp;N96,選手データ!A:H,3,FALSE)),"",IF(M96&lt;&gt;M89,VLOOKUP($C$2&amp;N96,選手データ!A:H,3,FALSE),""))</f>
        <v/>
      </c>
      <c r="B96" s="129" t="str">
        <f>IF(A96&lt;&gt;"",VLOOKUP($C$2&amp;N96,選手データ!A:H,4,FALSE),"")</f>
        <v/>
      </c>
      <c r="C96" s="129" t="str">
        <f>IF(A96&lt;&gt;"",VLOOKUP($C$2&amp;N96,選手データ!A:H,5,FALSE),"")</f>
        <v/>
      </c>
      <c r="D96" s="129" t="str">
        <f>IF(A96&lt;&gt;"",VLOOKUP($C$2&amp;N96,選手データ!A:H,6,FALSE),"")</f>
        <v/>
      </c>
      <c r="E96" s="129" t="str">
        <f>IF(A96&lt;&gt;"",VLOOKUP($C$2&amp;N96,選手データ!A:H,7,FALSE),"")</f>
        <v/>
      </c>
      <c r="F96" s="130" t="str">
        <f>IF(A96&lt;&gt;"",VLOOKUP($C$2&amp;N96,選手データ!A:H,8,FALSE),"")</f>
        <v/>
      </c>
      <c r="G96" s="130" t="str">
        <f>IF(F96&lt;&gt;"",IF(DATEDIF(F96,設定!$B$12,"Y")&lt;20,"〇",""),"")</f>
        <v/>
      </c>
      <c r="H96" s="131" t="str">
        <f t="shared" ca="1" si="7"/>
        <v/>
      </c>
      <c r="I96" s="132" t="str">
        <f t="shared" ca="1" si="8"/>
        <v/>
      </c>
      <c r="J96" s="131" t="str">
        <f t="shared" ca="1" si="9"/>
        <v/>
      </c>
      <c r="K96" s="130" t="str">
        <f>IF(A96&lt;&gt;"",IF(COUNTIF(リレーチーム情報!$B$5:$B$10,A96&amp;E96)=1,"〇",""),"")</f>
        <v/>
      </c>
      <c r="L96" s="133" t="str">
        <f>IF(A96&lt;&gt;"",IF(COUNTIF(リレーチーム情報!$B$11:$B$16,A96&amp;E96)=1,"〇",""),"")</f>
        <v/>
      </c>
      <c r="M96" s="127">
        <f>IF(学校情報!$A$4&lt;&gt;"",0,IF(S95=0,MAX($M$37:M95)+1,M95))</f>
        <v>0</v>
      </c>
      <c r="N96" s="127" t="str">
        <f>IF(M96&lt;&gt;0,VLOOKUP(M96,選手情報!BF:BG,2,FALSE),"")</f>
        <v/>
      </c>
      <c r="O96" s="127" t="str">
        <f ca="1">IF(M96&lt;&gt;0,VLOOKUP(N96,OFFSET(選手情報!$A$6:$W$119,IF(M96&lt;&gt;M95,0,R95),0),13,FALSE),"")</f>
        <v/>
      </c>
      <c r="P96" s="127" t="str">
        <f ca="1">IF(M96&lt;&gt;0,VLOOKUP(N96,OFFSET(選手情報!$A$6:$W$119,IF(M96&lt;&gt;M95,0,R95),0),16,FALSE),"")</f>
        <v/>
      </c>
      <c r="Q96" s="127" t="str">
        <f ca="1">IF(M96&lt;&gt;0,VLOOKUP(N96,OFFSET(選手情報!$A$6:$W$119,IF(M96&lt;&gt;M95,0,R95),0),21,FALSE),"")</f>
        <v/>
      </c>
      <c r="R96" s="127">
        <f ca="1">IF(M96&lt;&gt;0,VLOOKUP(N96,OFFSET(選手情報!$A$6:$BD$119,IF(M96&lt;&gt;M95,0,R95),0),56,FALSE),0)</f>
        <v>0</v>
      </c>
      <c r="S96" s="127">
        <f ca="1">IF(M96&lt;&gt;0,IF(ISNA(R96),0,COUNTIF(OFFSET(選手情報!$A$6:$A$119,R96,0),N96)),0)</f>
        <v>0</v>
      </c>
      <c r="U96" s="127">
        <f t="shared" si="10"/>
        <v>0</v>
      </c>
      <c r="V96" s="127">
        <f t="shared" ca="1" si="4"/>
        <v>1</v>
      </c>
      <c r="W96" s="127">
        <f t="shared" ca="1" si="5"/>
        <v>0</v>
      </c>
      <c r="X96" s="127" t="str">
        <f t="shared" ca="1" si="6"/>
        <v/>
      </c>
      <c r="Y96" s="127" t="str">
        <f>IF($A96&lt;&gt;"",IF(ISNA(VLOOKUP($N96,選手情報!$A$6:$M$119,13,FALSE)),"","/"&amp;VLOOKUP($N96,選手情報!$A$6:$M$119,13,FALSE)),"")</f>
        <v/>
      </c>
      <c r="Z96" s="127" t="str">
        <f ca="1">IF(Y96&lt;&gt;"",IF(ISNA(VLOOKUP($N96,OFFSET(選手情報!$A$6:$BD$119,0,0),56,FALSE)),"",VLOOKUP($N96,OFFSET(選手情報!$A$6:$BD$119,0,0),56,FALSE)),"")</f>
        <v/>
      </c>
      <c r="AA96" s="127" t="str">
        <f ca="1">IF(Z96&lt;&gt;"",IF(ISNA(VLOOKUP($N96,OFFSET(選手情報!$A$6:$M$119,Z96,0),13,FALSE)),"","/"&amp;VLOOKUP($N96,OFFSET(選手情報!$A$6:$M$119,Z96,0),13,FALSE)),"")</f>
        <v/>
      </c>
      <c r="AB96" s="127" t="str">
        <f ca="1">IF(Z96&lt;&gt;"",IF(ISNA(VLOOKUP($N96,OFFSET(選手情報!$A$6:$BD$119,Z96,0),56,FALSE)),"",VLOOKUP($N96,OFFSET(選手情報!$A$6:$BD$119,Z96,0),56,FALSE)),"")</f>
        <v/>
      </c>
      <c r="AC96" s="127" t="str">
        <f ca="1">IF(AB96&lt;&gt;"",IF(ISNA(VLOOKUP($N96,OFFSET(選手情報!$A$6:$M$119,AB96,0),13,FALSE)),"","/"&amp;VLOOKUP($N96,OFFSET(選手情報!$A$6:$M$119,AB96,0),13,FALSE)),"")</f>
        <v/>
      </c>
      <c r="AD96" s="127" t="str">
        <f ca="1">IF(AB96&lt;&gt;"",IF(ISNA(VLOOKUP($N96,OFFSET(選手情報!$A$6:$BD$119,AB96,0),56,FALSE)),"",VLOOKUP($N96,OFFSET(選手情報!$A$6:$BD$119,AB96,0),56,FALSE)),"")</f>
        <v/>
      </c>
      <c r="AE96" s="127" t="str">
        <f ca="1">IF(AD96&lt;&gt;"",IF(ISNA(VLOOKUP($N96,OFFSET(選手情報!$A$6:$M$119,AD96,0),13,FALSE)),"","/"&amp;VLOOKUP($N96,OFFSET(選手情報!$A$6:$M$119,AD96,0),13,FALSE)),"")</f>
        <v/>
      </c>
      <c r="AF96" s="127" t="str">
        <f ca="1">IF(AD96&lt;&gt;"",IF(ISNA(VLOOKUP($N96,OFFSET(選手情報!$A$6:$BD$119,AD96,0),56,FALSE)),"",VLOOKUP($N96,OFFSET(選手情報!$A$6:$BD$119,AD96,0),56,FALSE)),"")</f>
        <v/>
      </c>
      <c r="AG96" s="127" t="str">
        <f ca="1">IF(AF96&lt;&gt;"",IF(ISNA(VLOOKUP($N96,OFFSET(選手情報!$A$6:$M$119,AF96,0),13,FALSE)),"","/"&amp;VLOOKUP($N96,OFFSET(選手情報!$A$6:$M$119,AF96,0),13,FALSE)),"")</f>
        <v/>
      </c>
      <c r="AH96" s="127" t="str">
        <f ca="1">IF(AF96&lt;&gt;"",IF(ISNA(VLOOKUP($N96,OFFSET(選手情報!$A$6:$BD$119,AF96,0),56,FALSE)),"",VLOOKUP($N96,OFFSET(選手情報!$A$6:$BD$119,AF96,0),56,FALSE)),"")</f>
        <v/>
      </c>
      <c r="AI96" s="127" t="str">
        <f ca="1">IF(AH96&lt;&gt;"",IF(ISNA(VLOOKUP($N96,OFFSET(選手情報!$A$6:$M$119,AH96,0),13,FALSE)),"","/"&amp;VLOOKUP($N96,OFFSET(選手情報!$A$6:$M$119,AH96,0),13,FALSE)),"")</f>
        <v/>
      </c>
      <c r="AJ96" s="127" t="str">
        <f ca="1">IF(AH96&lt;&gt;"",IF(ISNA(VLOOKUP($N96,OFFSET(選手情報!$A$6:$BD$119,AH96,0),56,FALSE)),"",VLOOKUP($N96,OFFSET(選手情報!$A$6:$BD$119,AH96,0),56,FALSE)),"")</f>
        <v/>
      </c>
      <c r="AK96" s="127" t="str">
        <f ca="1">IF(AJ96&lt;&gt;"",IF(ISNA(VLOOKUP($N96,OFFSET(選手情報!$A$6:$M$119,AJ96,0),13,FALSE)),"","/"&amp;VLOOKUP($N96,OFFSET(選手情報!$A$6:$M$119,AJ96,0),13,FALSE)),"")</f>
        <v/>
      </c>
      <c r="AL96" s="127" t="str">
        <f ca="1">IF(AJ96&lt;&gt;"",IF(ISNA(VLOOKUP($N96,OFFSET(選手情報!$A$6:$BD$119,AJ96,0),56,FALSE)),"",VLOOKUP($N96,OFFSET(選手情報!$A$6:$BD$119,AJ96,0),56,FALSE)),"")</f>
        <v/>
      </c>
      <c r="AM96" s="127" t="str">
        <f ca="1">IF(AL96&lt;&gt;"",IF(ISNA(VLOOKUP($N96,OFFSET(選手情報!$A$6:$M$119,AL96,0),13,FALSE)),"","/"&amp;VLOOKUP($N96,OFFSET(選手情報!$A$6:$M$119,AL96,0),13,FALSE)),"")</f>
        <v/>
      </c>
      <c r="AN96" s="127" t="str">
        <f ca="1">IF(AL96&lt;&gt;"",IF(ISNA(VLOOKUP($N96,OFFSET(選手情報!$A$6:$BD$119,AL96,0),56,FALSE)),"",VLOOKUP($N96,OFFSET(選手情報!$A$6:$BD$119,AL96,0),56,FALSE)),"")</f>
        <v/>
      </c>
      <c r="AO96" s="127" t="str">
        <f ca="1">IF(AN96&lt;&gt;"",IF(ISNA(VLOOKUP($N96,OFFSET(選手情報!$A$6:$M$119,AN96,0),13,FALSE)),"","/"&amp;VLOOKUP($N96,OFFSET(選手情報!$A$6:$M$119,AN96,0),13,FALSE)),"")</f>
        <v/>
      </c>
      <c r="AP96" s="127" t="str">
        <f ca="1">IF(AN96&lt;&gt;"",IF(ISNA(VLOOKUP($N96,OFFSET(選手情報!$A$6:$BD$119,AN96,0),56,FALSE)),"",VLOOKUP($N96,OFFSET(選手情報!$A$6:$BD$119,AN96,0),56,FALSE)),"")</f>
        <v/>
      </c>
      <c r="AQ96" s="127" t="str">
        <f ca="1">IF(AP96&lt;&gt;"",IF(ISNA(VLOOKUP($N96,OFFSET(選手情報!$A$6:$M$119,AP96,0),13,FALSE)),"","/"&amp;VLOOKUP($N96,OFFSET(選手情報!$A$6:$M$119,AP96,0),13,FALSE)),"")</f>
        <v/>
      </c>
      <c r="AR96" s="127" t="str">
        <f ca="1">IF(AP96&lt;&gt;"",IF(ISNA(VLOOKUP($N96,OFFSET(選手情報!$A$6:$BD$119,AP96,0),56,FALSE)),"",VLOOKUP($N96,OFFSET(選手情報!$A$6:$BD$119,AP96,0),56,FALSE)),"")</f>
        <v/>
      </c>
      <c r="AS96" s="127" t="str">
        <f ca="1">IF(AR96&lt;&gt;"",IF(ISNA(VLOOKUP($N96,OFFSET(選手情報!$A$6:$M$119,AR96,0),13,FALSE)),"","/"&amp;VLOOKUP($N96,OFFSET(選手情報!$A$6:$M$119,AR96,0),13,FALSE)),"")</f>
        <v/>
      </c>
      <c r="AT96" s="127" t="str">
        <f ca="1">IF(AR96&lt;&gt;"",IF(ISNA(VLOOKUP($N96,OFFSET(選手情報!$A$6:$BD$119,AR96,0),56,FALSE)),"",VLOOKUP($N96,OFFSET(選手情報!$A$6:$BD$119,AR96,0),56,FALSE)),"")</f>
        <v/>
      </c>
      <c r="AU96" s="127" t="str">
        <f ca="1">IF(AT96&lt;&gt;"",IF(ISNA(VLOOKUP($N96,OFFSET(選手情報!$A$6:$M$119,AT96,0),13,FALSE)),"","/"&amp;VLOOKUP($N96,OFFSET(選手情報!$A$6:$M$119,AT96,0),13,FALSE)),"")</f>
        <v/>
      </c>
      <c r="AV96" s="127" t="str">
        <f ca="1">IF(AT96&lt;&gt;"",IF(ISNA(VLOOKUP($N96,OFFSET(選手情報!$A$6:$BD$119,AT96,0),56,FALSE)),"",VLOOKUP($N96,OFFSET(選手情報!$A$6:$BD$119,AT96,0),56,FALSE)),"")</f>
        <v/>
      </c>
      <c r="AW96" s="127" t="str">
        <f ca="1">IF(AV96&lt;&gt;"",IF(ISNA(VLOOKUP($N96,OFFSET(選手情報!$A$6:$M$119,AV96,0),13,FALSE)),"","/"&amp;VLOOKUP($N96,OFFSET(選手情報!$A$6:$M$119,AV96,0),13,FALSE)),"")</f>
        <v/>
      </c>
      <c r="AX96" s="127" t="str">
        <f ca="1">IF(AV96&lt;&gt;"",IF(ISNA(VLOOKUP($N96,OFFSET(選手情報!$A$6:$BD$119,AV96,0),56,FALSE)),"",VLOOKUP($N96,OFFSET(選手情報!$A$6:$BD$119,AV96,0),56,FALSE)),"")</f>
        <v/>
      </c>
      <c r="AY96" s="127" t="str">
        <f ca="1">IF(AX96&lt;&gt;"",IF(ISNA(VLOOKUP($N96,OFFSET(選手情報!$A$6:$M$119,AX96,0),13,FALSE)),"","/"&amp;VLOOKUP($N96,OFFSET(選手情報!$A$6:$M$119,AX96,0),13,FALSE)),"")</f>
        <v/>
      </c>
      <c r="AZ96" s="127" t="str">
        <f ca="1">IF(AX96&lt;&gt;"",IF(ISNA(VLOOKUP($N96,OFFSET(選手情報!$A$6:$BD$119,AX96,0),56,FALSE)),"",VLOOKUP($N96,OFFSET(選手情報!$A$6:$BD$119,AX96,0),56,FALSE)),"")</f>
        <v/>
      </c>
      <c r="BA96" s="127" t="str">
        <f ca="1">IF(AZ96&lt;&gt;"",IF(ISNA(VLOOKUP($N96,OFFSET(選手情報!$A$6:$M$119,AZ96,0),13,FALSE)),"","/"&amp;VLOOKUP($N96,OFFSET(選手情報!$A$6:$M$119,AZ96,0),13,FALSE)),"")</f>
        <v/>
      </c>
      <c r="BB96" s="127" t="str">
        <f ca="1">IF(AZ96&lt;&gt;"",IF(ISNA(VLOOKUP($N96,OFFSET(選手情報!$A$6:$BD$119,AZ96,0),56,FALSE)),"",VLOOKUP($N96,OFFSET(選手情報!$A$6:$BD$119,AZ96,0),56,FALSE)),"")</f>
        <v/>
      </c>
      <c r="BC96" s="127" t="str">
        <f ca="1">IF(BB96&lt;&gt;"",IF(ISNA(VLOOKUP($N96,OFFSET(選手情報!$A$6:$M$119,BB96,0),13,FALSE)),"","/"&amp;VLOOKUP($N96,OFFSET(選手情報!$A$6:$M$119,BB96,0),13,FALSE)),"")</f>
        <v/>
      </c>
      <c r="BD96" s="127" t="str">
        <f ca="1">IF(BB96&lt;&gt;"",IF(ISNA(VLOOKUP($N96,OFFSET(選手情報!$A$6:$BD$119,BB96,0),56,FALSE)),"",VLOOKUP($N96,OFFSET(選手情報!$A$6:$BD$119,BB96,0),56,FALSE)),"")</f>
        <v/>
      </c>
      <c r="BE96" s="127" t="str">
        <f ca="1">IF(BD96&lt;&gt;"",IF(ISNA(VLOOKUP($N96,OFFSET(選手情報!$A$6:$M$119,BD96,0),13,FALSE)),"","/"&amp;VLOOKUP($N96,OFFSET(選手情報!$A$6:$M$119,BD96,0),13,FALSE)),"")</f>
        <v/>
      </c>
      <c r="BF96" s="127" t="str">
        <f ca="1">IF(BD96&lt;&gt;"",IF(ISNA(VLOOKUP($N96,OFFSET(選手情報!$A$6:$BD$119,BD96,0),56,FALSE)),"",VLOOKUP($N96,OFFSET(選手情報!$A$6:$BD$119,BD96,0),56,FALSE)),"")</f>
        <v/>
      </c>
      <c r="BG96" s="127" t="str">
        <f ca="1">IF(BF96&lt;&gt;"",IF(ISNA(VLOOKUP($N96,OFFSET(選手情報!$A$6:$M$119,BF96,0),13,FALSE)),"","/"&amp;VLOOKUP($N96,OFFSET(選手情報!$A$6:$M$119,BF96,0),13,FALSE)),"")</f>
        <v/>
      </c>
      <c r="BH96" s="127" t="str">
        <f ca="1">IF(BF96&lt;&gt;"",IF(ISNA(VLOOKUP($N96,OFFSET(選手情報!$A$6:$BD$119,BF96,0),56,FALSE)),"",VLOOKUP($N96,OFFSET(選手情報!$A$6:$BD$119,BF96,0),56,FALSE)),"")</f>
        <v/>
      </c>
      <c r="BI96" s="127" t="str">
        <f ca="1">IF(BH96&lt;&gt;"",IF(ISNA(VLOOKUP($N96,OFFSET(選手情報!$A$6:$M$119,BH96,0),13,FALSE)),"","/"&amp;VLOOKUP($N96,OFFSET(選手情報!$A$6:$M$119,BH96,0),13,FALSE)),"")</f>
        <v/>
      </c>
    </row>
    <row r="97" spans="1:62" s="127" customFormat="1" ht="12.6" customHeight="1">
      <c r="A97" s="128" t="str">
        <f>IF(ISNA(VLOOKUP($C$2&amp;N97,選手データ!A:H,3,FALSE)),"",IF(M97&lt;&gt;M90,VLOOKUP($C$2&amp;N97,選手データ!A:H,3,FALSE),""))</f>
        <v/>
      </c>
      <c r="B97" s="129" t="str">
        <f>IF(A97&lt;&gt;"",VLOOKUP($C$2&amp;N97,選手データ!A:H,4,FALSE),"")</f>
        <v/>
      </c>
      <c r="C97" s="129" t="str">
        <f>IF(A97&lt;&gt;"",VLOOKUP($C$2&amp;N97,選手データ!A:H,5,FALSE),"")</f>
        <v/>
      </c>
      <c r="D97" s="129" t="str">
        <f>IF(A97&lt;&gt;"",VLOOKUP($C$2&amp;N97,選手データ!A:H,6,FALSE),"")</f>
        <v/>
      </c>
      <c r="E97" s="129" t="str">
        <f>IF(A97&lt;&gt;"",VLOOKUP($C$2&amp;N97,選手データ!A:H,7,FALSE),"")</f>
        <v/>
      </c>
      <c r="F97" s="130" t="str">
        <f>IF(A97&lt;&gt;"",VLOOKUP($C$2&amp;N97,選手データ!A:H,8,FALSE),"")</f>
        <v/>
      </c>
      <c r="G97" s="130" t="str">
        <f>IF(F97&lt;&gt;"",IF(DATEDIF(F97,設定!$B$12,"Y")&lt;20,"〇",""),"")</f>
        <v/>
      </c>
      <c r="H97" s="131" t="str">
        <f t="shared" ca="1" si="7"/>
        <v/>
      </c>
      <c r="I97" s="132" t="str">
        <f t="shared" ca="1" si="8"/>
        <v/>
      </c>
      <c r="J97" s="131" t="str">
        <f t="shared" ca="1" si="9"/>
        <v/>
      </c>
      <c r="K97" s="130" t="str">
        <f>IF(A97&lt;&gt;"",IF(COUNTIF(リレーチーム情報!$B$5:$B$10,A97&amp;E97)=1,"〇",""),"")</f>
        <v/>
      </c>
      <c r="L97" s="133" t="str">
        <f>IF(A97&lt;&gt;"",IF(COUNTIF(リレーチーム情報!$B$11:$B$16,A97&amp;E97)=1,"〇",""),"")</f>
        <v/>
      </c>
      <c r="M97" s="127">
        <f>IF(学校情報!$A$4&lt;&gt;"",0,IF(S96=0,MAX($M$37:M96)+1,M96))</f>
        <v>0</v>
      </c>
      <c r="N97" s="127" t="str">
        <f>IF(M97&lt;&gt;0,VLOOKUP(M97,選手情報!BF:BG,2,FALSE),"")</f>
        <v/>
      </c>
      <c r="O97" s="127" t="str">
        <f ca="1">IF(M97&lt;&gt;0,VLOOKUP(N97,OFFSET(選手情報!$A$6:$W$119,IF(M97&lt;&gt;M96,0,R96),0),13,FALSE),"")</f>
        <v/>
      </c>
      <c r="P97" s="127" t="str">
        <f ca="1">IF(M97&lt;&gt;0,VLOOKUP(N97,OFFSET(選手情報!$A$6:$W$119,IF(M97&lt;&gt;M96,0,R96),0),16,FALSE),"")</f>
        <v/>
      </c>
      <c r="Q97" s="127" t="str">
        <f ca="1">IF(M97&lt;&gt;0,VLOOKUP(N97,OFFSET(選手情報!$A$6:$W$119,IF(M97&lt;&gt;M96,0,R96),0),21,FALSE),"")</f>
        <v/>
      </c>
      <c r="R97" s="127">
        <f ca="1">IF(M97&lt;&gt;0,VLOOKUP(N97,OFFSET(選手情報!$A$6:$BD$119,IF(M97&lt;&gt;M96,0,R96),0),56,FALSE),0)</f>
        <v>0</v>
      </c>
      <c r="S97" s="127">
        <f ca="1">IF(M97&lt;&gt;0,IF(ISNA(R97),0,COUNTIF(OFFSET(選手情報!$A$6:$A$119,R97,0),N97)),0)</f>
        <v>0</v>
      </c>
      <c r="U97" s="127">
        <f t="shared" si="10"/>
        <v>0</v>
      </c>
      <c r="V97" s="127">
        <f t="shared" ca="1" si="4"/>
        <v>1</v>
      </c>
      <c r="W97" s="127">
        <f t="shared" ca="1" si="5"/>
        <v>0</v>
      </c>
      <c r="X97" s="127" t="str">
        <f t="shared" ca="1" si="6"/>
        <v/>
      </c>
      <c r="Y97" s="127" t="str">
        <f>IF($A97&lt;&gt;"",IF(ISNA(VLOOKUP($N97,選手情報!$A$6:$M$119,13,FALSE)),"","/"&amp;VLOOKUP($N97,選手情報!$A$6:$M$119,13,FALSE)),"")</f>
        <v/>
      </c>
      <c r="Z97" s="127" t="str">
        <f ca="1">IF(Y97&lt;&gt;"",IF(ISNA(VLOOKUP($N97,OFFSET(選手情報!$A$6:$BD$119,0,0),56,FALSE)),"",VLOOKUP($N97,OFFSET(選手情報!$A$6:$BD$119,0,0),56,FALSE)),"")</f>
        <v/>
      </c>
      <c r="AA97" s="127" t="str">
        <f ca="1">IF(Z97&lt;&gt;"",IF(ISNA(VLOOKUP($N97,OFFSET(選手情報!$A$6:$M$119,Z97,0),13,FALSE)),"","/"&amp;VLOOKUP($N97,OFFSET(選手情報!$A$6:$M$119,Z97,0),13,FALSE)),"")</f>
        <v/>
      </c>
      <c r="AB97" s="127" t="str">
        <f ca="1">IF(Z97&lt;&gt;"",IF(ISNA(VLOOKUP($N97,OFFSET(選手情報!$A$6:$BD$119,Z97,0),56,FALSE)),"",VLOOKUP($N97,OFFSET(選手情報!$A$6:$BD$119,Z97,0),56,FALSE)),"")</f>
        <v/>
      </c>
      <c r="AC97" s="127" t="str">
        <f ca="1">IF(AB97&lt;&gt;"",IF(ISNA(VLOOKUP($N97,OFFSET(選手情報!$A$6:$M$119,AB97,0),13,FALSE)),"","/"&amp;VLOOKUP($N97,OFFSET(選手情報!$A$6:$M$119,AB97,0),13,FALSE)),"")</f>
        <v/>
      </c>
      <c r="AD97" s="127" t="str">
        <f ca="1">IF(AB97&lt;&gt;"",IF(ISNA(VLOOKUP($N97,OFFSET(選手情報!$A$6:$BD$119,AB97,0),56,FALSE)),"",VLOOKUP($N97,OFFSET(選手情報!$A$6:$BD$119,AB97,0),56,FALSE)),"")</f>
        <v/>
      </c>
      <c r="AE97" s="127" t="str">
        <f ca="1">IF(AD97&lt;&gt;"",IF(ISNA(VLOOKUP($N97,OFFSET(選手情報!$A$6:$M$119,AD97,0),13,FALSE)),"","/"&amp;VLOOKUP($N97,OFFSET(選手情報!$A$6:$M$119,AD97,0),13,FALSE)),"")</f>
        <v/>
      </c>
      <c r="AF97" s="127" t="str">
        <f ca="1">IF(AD97&lt;&gt;"",IF(ISNA(VLOOKUP($N97,OFFSET(選手情報!$A$6:$BD$119,AD97,0),56,FALSE)),"",VLOOKUP($N97,OFFSET(選手情報!$A$6:$BD$119,AD97,0),56,FALSE)),"")</f>
        <v/>
      </c>
      <c r="AG97" s="127" t="str">
        <f ca="1">IF(AF97&lt;&gt;"",IF(ISNA(VLOOKUP($N97,OFFSET(選手情報!$A$6:$M$119,AF97,0),13,FALSE)),"","/"&amp;VLOOKUP($N97,OFFSET(選手情報!$A$6:$M$119,AF97,0),13,FALSE)),"")</f>
        <v/>
      </c>
      <c r="AH97" s="127" t="str">
        <f ca="1">IF(AF97&lt;&gt;"",IF(ISNA(VLOOKUP($N97,OFFSET(選手情報!$A$6:$BD$119,AF97,0),56,FALSE)),"",VLOOKUP($N97,OFFSET(選手情報!$A$6:$BD$119,AF97,0),56,FALSE)),"")</f>
        <v/>
      </c>
      <c r="AI97" s="127" t="str">
        <f ca="1">IF(AH97&lt;&gt;"",IF(ISNA(VLOOKUP($N97,OFFSET(選手情報!$A$6:$M$119,AH97,0),13,FALSE)),"","/"&amp;VLOOKUP($N97,OFFSET(選手情報!$A$6:$M$119,AH97,0),13,FALSE)),"")</f>
        <v/>
      </c>
      <c r="AJ97" s="127" t="str">
        <f ca="1">IF(AH97&lt;&gt;"",IF(ISNA(VLOOKUP($N97,OFFSET(選手情報!$A$6:$BD$119,AH97,0),56,FALSE)),"",VLOOKUP($N97,OFFSET(選手情報!$A$6:$BD$119,AH97,0),56,FALSE)),"")</f>
        <v/>
      </c>
      <c r="AK97" s="127" t="str">
        <f ca="1">IF(AJ97&lt;&gt;"",IF(ISNA(VLOOKUP($N97,OFFSET(選手情報!$A$6:$M$119,AJ97,0),13,FALSE)),"","/"&amp;VLOOKUP($N97,OFFSET(選手情報!$A$6:$M$119,AJ97,0),13,FALSE)),"")</f>
        <v/>
      </c>
      <c r="AL97" s="127" t="str">
        <f ca="1">IF(AJ97&lt;&gt;"",IF(ISNA(VLOOKUP($N97,OFFSET(選手情報!$A$6:$BD$119,AJ97,0),56,FALSE)),"",VLOOKUP($N97,OFFSET(選手情報!$A$6:$BD$119,AJ97,0),56,FALSE)),"")</f>
        <v/>
      </c>
      <c r="AM97" s="127" t="str">
        <f ca="1">IF(AL97&lt;&gt;"",IF(ISNA(VLOOKUP($N97,OFFSET(選手情報!$A$6:$M$119,AL97,0),13,FALSE)),"","/"&amp;VLOOKUP($N97,OFFSET(選手情報!$A$6:$M$119,AL97,0),13,FALSE)),"")</f>
        <v/>
      </c>
      <c r="AN97" s="127" t="str">
        <f ca="1">IF(AL97&lt;&gt;"",IF(ISNA(VLOOKUP($N97,OFFSET(選手情報!$A$6:$BD$119,AL97,0),56,FALSE)),"",VLOOKUP($N97,OFFSET(選手情報!$A$6:$BD$119,AL97,0),56,FALSE)),"")</f>
        <v/>
      </c>
      <c r="AO97" s="127" t="str">
        <f ca="1">IF(AN97&lt;&gt;"",IF(ISNA(VLOOKUP($N97,OFFSET(選手情報!$A$6:$M$119,AN97,0),13,FALSE)),"","/"&amp;VLOOKUP($N97,OFFSET(選手情報!$A$6:$M$119,AN97,0),13,FALSE)),"")</f>
        <v/>
      </c>
      <c r="AP97" s="127" t="str">
        <f ca="1">IF(AN97&lt;&gt;"",IF(ISNA(VLOOKUP($N97,OFFSET(選手情報!$A$6:$BD$119,AN97,0),56,FALSE)),"",VLOOKUP($N97,OFFSET(選手情報!$A$6:$BD$119,AN97,0),56,FALSE)),"")</f>
        <v/>
      </c>
      <c r="AQ97" s="127" t="str">
        <f ca="1">IF(AP97&lt;&gt;"",IF(ISNA(VLOOKUP($N97,OFFSET(選手情報!$A$6:$M$119,AP97,0),13,FALSE)),"","/"&amp;VLOOKUP($N97,OFFSET(選手情報!$A$6:$M$119,AP97,0),13,FALSE)),"")</f>
        <v/>
      </c>
      <c r="AR97" s="127" t="str">
        <f ca="1">IF(AP97&lt;&gt;"",IF(ISNA(VLOOKUP($N97,OFFSET(選手情報!$A$6:$BD$119,AP97,0),56,FALSE)),"",VLOOKUP($N97,OFFSET(選手情報!$A$6:$BD$119,AP97,0),56,FALSE)),"")</f>
        <v/>
      </c>
      <c r="AS97" s="127" t="str">
        <f ca="1">IF(AR97&lt;&gt;"",IF(ISNA(VLOOKUP($N97,OFFSET(選手情報!$A$6:$M$119,AR97,0),13,FALSE)),"","/"&amp;VLOOKUP($N97,OFFSET(選手情報!$A$6:$M$119,AR97,0),13,FALSE)),"")</f>
        <v/>
      </c>
      <c r="AT97" s="127" t="str">
        <f ca="1">IF(AR97&lt;&gt;"",IF(ISNA(VLOOKUP($N97,OFFSET(選手情報!$A$6:$BD$119,AR97,0),56,FALSE)),"",VLOOKUP($N97,OFFSET(選手情報!$A$6:$BD$119,AR97,0),56,FALSE)),"")</f>
        <v/>
      </c>
      <c r="AU97" s="127" t="str">
        <f ca="1">IF(AT97&lt;&gt;"",IF(ISNA(VLOOKUP($N97,OFFSET(選手情報!$A$6:$M$119,AT97,0),13,FALSE)),"","/"&amp;VLOOKUP($N97,OFFSET(選手情報!$A$6:$M$119,AT97,0),13,FALSE)),"")</f>
        <v/>
      </c>
      <c r="AV97" s="127" t="str">
        <f ca="1">IF(AT97&lt;&gt;"",IF(ISNA(VLOOKUP($N97,OFFSET(選手情報!$A$6:$BD$119,AT97,0),56,FALSE)),"",VLOOKUP($N97,OFFSET(選手情報!$A$6:$BD$119,AT97,0),56,FALSE)),"")</f>
        <v/>
      </c>
      <c r="AW97" s="127" t="str">
        <f ca="1">IF(AV97&lt;&gt;"",IF(ISNA(VLOOKUP($N97,OFFSET(選手情報!$A$6:$M$119,AV97,0),13,FALSE)),"","/"&amp;VLOOKUP($N97,OFFSET(選手情報!$A$6:$M$119,AV97,0),13,FALSE)),"")</f>
        <v/>
      </c>
      <c r="AX97" s="127" t="str">
        <f ca="1">IF(AV97&lt;&gt;"",IF(ISNA(VLOOKUP($N97,OFFSET(選手情報!$A$6:$BD$119,AV97,0),56,FALSE)),"",VLOOKUP($N97,OFFSET(選手情報!$A$6:$BD$119,AV97,0),56,FALSE)),"")</f>
        <v/>
      </c>
      <c r="AY97" s="127" t="str">
        <f ca="1">IF(AX97&lt;&gt;"",IF(ISNA(VLOOKUP($N97,OFFSET(選手情報!$A$6:$M$119,AX97,0),13,FALSE)),"","/"&amp;VLOOKUP($N97,OFFSET(選手情報!$A$6:$M$119,AX97,0),13,FALSE)),"")</f>
        <v/>
      </c>
      <c r="AZ97" s="127" t="str">
        <f ca="1">IF(AX97&lt;&gt;"",IF(ISNA(VLOOKUP($N97,OFFSET(選手情報!$A$6:$BD$119,AX97,0),56,FALSE)),"",VLOOKUP($N97,OFFSET(選手情報!$A$6:$BD$119,AX97,0),56,FALSE)),"")</f>
        <v/>
      </c>
      <c r="BA97" s="127" t="str">
        <f ca="1">IF(AZ97&lt;&gt;"",IF(ISNA(VLOOKUP($N97,OFFSET(選手情報!$A$6:$M$119,AZ97,0),13,FALSE)),"","/"&amp;VLOOKUP($N97,OFFSET(選手情報!$A$6:$M$119,AZ97,0),13,FALSE)),"")</f>
        <v/>
      </c>
      <c r="BB97" s="127" t="str">
        <f ca="1">IF(AZ97&lt;&gt;"",IF(ISNA(VLOOKUP($N97,OFFSET(選手情報!$A$6:$BD$119,AZ97,0),56,FALSE)),"",VLOOKUP($N97,OFFSET(選手情報!$A$6:$BD$119,AZ97,0),56,FALSE)),"")</f>
        <v/>
      </c>
      <c r="BC97" s="127" t="str">
        <f ca="1">IF(BB97&lt;&gt;"",IF(ISNA(VLOOKUP($N97,OFFSET(選手情報!$A$6:$M$119,BB97,0),13,FALSE)),"","/"&amp;VLOOKUP($N97,OFFSET(選手情報!$A$6:$M$119,BB97,0),13,FALSE)),"")</f>
        <v/>
      </c>
      <c r="BD97" s="127" t="str">
        <f ca="1">IF(BB97&lt;&gt;"",IF(ISNA(VLOOKUP($N97,OFFSET(選手情報!$A$6:$BD$119,BB97,0),56,FALSE)),"",VLOOKUP($N97,OFFSET(選手情報!$A$6:$BD$119,BB97,0),56,FALSE)),"")</f>
        <v/>
      </c>
      <c r="BE97" s="127" t="str">
        <f ca="1">IF(BD97&lt;&gt;"",IF(ISNA(VLOOKUP($N97,OFFSET(選手情報!$A$6:$M$119,BD97,0),13,FALSE)),"","/"&amp;VLOOKUP($N97,OFFSET(選手情報!$A$6:$M$119,BD97,0),13,FALSE)),"")</f>
        <v/>
      </c>
      <c r="BF97" s="127" t="str">
        <f ca="1">IF(BD97&lt;&gt;"",IF(ISNA(VLOOKUP($N97,OFFSET(選手情報!$A$6:$BD$119,BD97,0),56,FALSE)),"",VLOOKUP($N97,OFFSET(選手情報!$A$6:$BD$119,BD97,0),56,FALSE)),"")</f>
        <v/>
      </c>
      <c r="BG97" s="127" t="str">
        <f ca="1">IF(BF97&lt;&gt;"",IF(ISNA(VLOOKUP($N97,OFFSET(選手情報!$A$6:$M$119,BF97,0),13,FALSE)),"","/"&amp;VLOOKUP($N97,OFFSET(選手情報!$A$6:$M$119,BF97,0),13,FALSE)),"")</f>
        <v/>
      </c>
      <c r="BH97" s="127" t="str">
        <f ca="1">IF(BF97&lt;&gt;"",IF(ISNA(VLOOKUP($N97,OFFSET(選手情報!$A$6:$BD$119,BF97,0),56,FALSE)),"",VLOOKUP($N97,OFFSET(選手情報!$A$6:$BD$119,BF97,0),56,FALSE)),"")</f>
        <v/>
      </c>
      <c r="BI97" s="127" t="str">
        <f ca="1">IF(BH97&lt;&gt;"",IF(ISNA(VLOOKUP($N97,OFFSET(選手情報!$A$6:$M$119,BH97,0),13,FALSE)),"","/"&amp;VLOOKUP($N97,OFFSET(選手情報!$A$6:$M$119,BH97,0),13,FALSE)),"")</f>
        <v/>
      </c>
    </row>
    <row r="98" spans="1:62" s="127" customFormat="1" ht="12.6" customHeight="1">
      <c r="A98" s="128" t="str">
        <f>IF(ISNA(VLOOKUP($C$2&amp;N98,選手データ!A:H,3,FALSE)),"",IF(M98&lt;&gt;M84,VLOOKUP($C$2&amp;N98,選手データ!A:H,3,FALSE),""))</f>
        <v/>
      </c>
      <c r="B98" s="129" t="str">
        <f>IF(A98&lt;&gt;"",VLOOKUP($C$2&amp;N98,選手データ!A:H,4,FALSE),"")</f>
        <v/>
      </c>
      <c r="C98" s="129" t="str">
        <f>IF(A98&lt;&gt;"",VLOOKUP($C$2&amp;N98,選手データ!A:H,5,FALSE),"")</f>
        <v/>
      </c>
      <c r="D98" s="129" t="str">
        <f>IF(A98&lt;&gt;"",VLOOKUP($C$2&amp;N98,選手データ!A:H,6,FALSE),"")</f>
        <v/>
      </c>
      <c r="E98" s="129" t="str">
        <f>IF(A98&lt;&gt;"",VLOOKUP($C$2&amp;N98,選手データ!A:H,7,FALSE),"")</f>
        <v/>
      </c>
      <c r="F98" s="130" t="str">
        <f>IF(A98&lt;&gt;"",VLOOKUP($C$2&amp;N98,選手データ!A:H,8,FALSE),"")</f>
        <v/>
      </c>
      <c r="G98" s="130" t="str">
        <f>IF(F98&lt;&gt;"",IF(DATEDIF(F98,設定!$B$12,"Y")&lt;20,"〇",""),"")</f>
        <v/>
      </c>
      <c r="H98" s="131" t="str">
        <f t="shared" ca="1" si="7"/>
        <v/>
      </c>
      <c r="I98" s="132" t="str">
        <f t="shared" ca="1" si="8"/>
        <v/>
      </c>
      <c r="J98" s="131" t="str">
        <f t="shared" ca="1" si="9"/>
        <v/>
      </c>
      <c r="K98" s="130" t="str">
        <f>IF(A98&lt;&gt;"",IF(COUNTIF(リレーチーム情報!$B$5:$B$10,A98&amp;E98)=1,"〇",""),"")</f>
        <v/>
      </c>
      <c r="L98" s="133" t="str">
        <f>IF(A98&lt;&gt;"",IF(COUNTIF(リレーチーム情報!$B$11:$B$16,A98&amp;E98)=1,"〇",""),"")</f>
        <v/>
      </c>
      <c r="M98" s="127">
        <f>IF(学校情報!$A$4&lt;&gt;"",0,IF(S97=0,MAX($M$37:M97)+1,M97))</f>
        <v>0</v>
      </c>
      <c r="N98" s="127" t="str">
        <f>IF(M98&lt;&gt;0,VLOOKUP(M98,選手情報!BF:BG,2,FALSE),"")</f>
        <v/>
      </c>
      <c r="O98" s="127" t="str">
        <f ca="1">IF(M98&lt;&gt;0,VLOOKUP(N98,OFFSET(選手情報!$A$6:$W$119,IF(M98&lt;&gt;M97,0,R97),0),13,FALSE),"")</f>
        <v/>
      </c>
      <c r="P98" s="127" t="str">
        <f ca="1">IF(M98&lt;&gt;0,VLOOKUP(N98,OFFSET(選手情報!$A$6:$W$119,IF(M98&lt;&gt;M97,0,R97),0),16,FALSE),"")</f>
        <v/>
      </c>
      <c r="Q98" s="127" t="str">
        <f ca="1">IF(M98&lt;&gt;0,VLOOKUP(N98,OFFSET(選手情報!$A$6:$W$119,IF(M98&lt;&gt;M97,0,R97),0),21,FALSE),"")</f>
        <v/>
      </c>
      <c r="R98" s="127">
        <f ca="1">IF(M98&lt;&gt;0,VLOOKUP(N98,OFFSET(選手情報!$A$6:$BD$119,IF(M98&lt;&gt;M97,0,R97),0),56,FALSE),0)</f>
        <v>0</v>
      </c>
      <c r="S98" s="127">
        <f ca="1">IF(M98&lt;&gt;0,IF(ISNA(R98),0,COUNTIF(OFFSET(選手情報!$A$6:$A$119,R98,0),N98)),0)</f>
        <v>0</v>
      </c>
      <c r="U98" s="127">
        <f t="shared" ref="U98:U104" si="11">IF(ISNA(N98),0,IF(N98&lt;&gt;N84,1,0))</f>
        <v>0</v>
      </c>
      <c r="V98" s="127">
        <f t="shared" ca="1" si="4"/>
        <v>1</v>
      </c>
      <c r="W98" s="127">
        <f t="shared" ca="1" si="5"/>
        <v>0</v>
      </c>
      <c r="X98" s="127" t="str">
        <f t="shared" ca="1" si="6"/>
        <v/>
      </c>
      <c r="Y98" s="127" t="str">
        <f>IF($A98&lt;&gt;"",IF(ISNA(VLOOKUP($N98,選手情報!$A$6:$M$119,13,FALSE)),"","/"&amp;VLOOKUP($N98,選手情報!$A$6:$M$119,13,FALSE)),"")</f>
        <v/>
      </c>
      <c r="Z98" s="127" t="str">
        <f ca="1">IF(Y98&lt;&gt;"",IF(ISNA(VLOOKUP($N98,OFFSET(選手情報!$A$6:$BD$119,0,0),56,FALSE)),"",VLOOKUP($N98,OFFSET(選手情報!$A$6:$BD$119,0,0),56,FALSE)),"")</f>
        <v/>
      </c>
      <c r="AA98" s="127" t="str">
        <f ca="1">IF(Z98&lt;&gt;"",IF(ISNA(VLOOKUP($N98,OFFSET(選手情報!$A$6:$M$119,Z98,0),13,FALSE)),"","/"&amp;VLOOKUP($N98,OFFSET(選手情報!$A$6:$M$119,Z98,0),13,FALSE)),"")</f>
        <v/>
      </c>
      <c r="AB98" s="127" t="str">
        <f ca="1">IF(Z98&lt;&gt;"",IF(ISNA(VLOOKUP($N98,OFFSET(選手情報!$A$6:$BD$119,Z98,0),56,FALSE)),"",VLOOKUP($N98,OFFSET(選手情報!$A$6:$BD$119,Z98,0),56,FALSE)),"")</f>
        <v/>
      </c>
      <c r="AC98" s="127" t="str">
        <f ca="1">IF(AB98&lt;&gt;"",IF(ISNA(VLOOKUP($N98,OFFSET(選手情報!$A$6:$M$119,AB98,0),13,FALSE)),"","/"&amp;VLOOKUP($N98,OFFSET(選手情報!$A$6:$M$119,AB98,0),13,FALSE)),"")</f>
        <v/>
      </c>
      <c r="AD98" s="127" t="str">
        <f ca="1">IF(AB98&lt;&gt;"",IF(ISNA(VLOOKUP($N98,OFFSET(選手情報!$A$6:$BD$119,AB98,0),56,FALSE)),"",VLOOKUP($N98,OFFSET(選手情報!$A$6:$BD$119,AB98,0),56,FALSE)),"")</f>
        <v/>
      </c>
      <c r="AE98" s="127" t="str">
        <f ca="1">IF(AD98&lt;&gt;"",IF(ISNA(VLOOKUP($N98,OFFSET(選手情報!$A$6:$M$119,AD98,0),13,FALSE)),"","/"&amp;VLOOKUP($N98,OFFSET(選手情報!$A$6:$M$119,AD98,0),13,FALSE)),"")</f>
        <v/>
      </c>
      <c r="AF98" s="127" t="str">
        <f ca="1">IF(AD98&lt;&gt;"",IF(ISNA(VLOOKUP($N98,OFFSET(選手情報!$A$6:$BD$119,AD98,0),56,FALSE)),"",VLOOKUP($N98,OFFSET(選手情報!$A$6:$BD$119,AD98,0),56,FALSE)),"")</f>
        <v/>
      </c>
      <c r="AG98" s="127" t="str">
        <f ca="1">IF(AF98&lt;&gt;"",IF(ISNA(VLOOKUP($N98,OFFSET(選手情報!$A$6:$M$119,AF98,0),13,FALSE)),"","/"&amp;VLOOKUP($N98,OFFSET(選手情報!$A$6:$M$119,AF98,0),13,FALSE)),"")</f>
        <v/>
      </c>
      <c r="AH98" s="127" t="str">
        <f ca="1">IF(AF98&lt;&gt;"",IF(ISNA(VLOOKUP($N98,OFFSET(選手情報!$A$6:$BD$119,AF98,0),56,FALSE)),"",VLOOKUP($N98,OFFSET(選手情報!$A$6:$BD$119,AF98,0),56,FALSE)),"")</f>
        <v/>
      </c>
      <c r="AI98" s="127" t="str">
        <f ca="1">IF(AH98&lt;&gt;"",IF(ISNA(VLOOKUP($N98,OFFSET(選手情報!$A$6:$M$119,AH98,0),13,FALSE)),"","/"&amp;VLOOKUP($N98,OFFSET(選手情報!$A$6:$M$119,AH98,0),13,FALSE)),"")</f>
        <v/>
      </c>
      <c r="AJ98" s="127" t="str">
        <f ca="1">IF(AH98&lt;&gt;"",IF(ISNA(VLOOKUP($N98,OFFSET(選手情報!$A$6:$BD$119,AH98,0),56,FALSE)),"",VLOOKUP($N98,OFFSET(選手情報!$A$6:$BD$119,AH98,0),56,FALSE)),"")</f>
        <v/>
      </c>
      <c r="AK98" s="127" t="str">
        <f ca="1">IF(AJ98&lt;&gt;"",IF(ISNA(VLOOKUP($N98,OFFSET(選手情報!$A$6:$M$119,AJ98,0),13,FALSE)),"","/"&amp;VLOOKUP($N98,OFFSET(選手情報!$A$6:$M$119,AJ98,0),13,FALSE)),"")</f>
        <v/>
      </c>
      <c r="AL98" s="127" t="str">
        <f ca="1">IF(AJ98&lt;&gt;"",IF(ISNA(VLOOKUP($N98,OFFSET(選手情報!$A$6:$BD$119,AJ98,0),56,FALSE)),"",VLOOKUP($N98,OFFSET(選手情報!$A$6:$BD$119,AJ98,0),56,FALSE)),"")</f>
        <v/>
      </c>
      <c r="AM98" s="127" t="str">
        <f ca="1">IF(AL98&lt;&gt;"",IF(ISNA(VLOOKUP($N98,OFFSET(選手情報!$A$6:$M$119,AL98,0),13,FALSE)),"","/"&amp;VLOOKUP($N98,OFFSET(選手情報!$A$6:$M$119,AL98,0),13,FALSE)),"")</f>
        <v/>
      </c>
      <c r="AN98" s="127" t="str">
        <f ca="1">IF(AL98&lt;&gt;"",IF(ISNA(VLOOKUP($N98,OFFSET(選手情報!$A$6:$BD$119,AL98,0),56,FALSE)),"",VLOOKUP($N98,OFFSET(選手情報!$A$6:$BD$119,AL98,0),56,FALSE)),"")</f>
        <v/>
      </c>
      <c r="AO98" s="127" t="str">
        <f ca="1">IF(AN98&lt;&gt;"",IF(ISNA(VLOOKUP($N98,OFFSET(選手情報!$A$6:$M$119,AN98,0),13,FALSE)),"","/"&amp;VLOOKUP($N98,OFFSET(選手情報!$A$6:$M$119,AN98,0),13,FALSE)),"")</f>
        <v/>
      </c>
      <c r="AP98" s="127" t="str">
        <f ca="1">IF(AN98&lt;&gt;"",IF(ISNA(VLOOKUP($N98,OFFSET(選手情報!$A$6:$BD$119,AN98,0),56,FALSE)),"",VLOOKUP($N98,OFFSET(選手情報!$A$6:$BD$119,AN98,0),56,FALSE)),"")</f>
        <v/>
      </c>
      <c r="AQ98" s="127" t="str">
        <f ca="1">IF(AP98&lt;&gt;"",IF(ISNA(VLOOKUP($N98,OFFSET(選手情報!$A$6:$M$119,AP98,0),13,FALSE)),"","/"&amp;VLOOKUP($N98,OFFSET(選手情報!$A$6:$M$119,AP98,0),13,FALSE)),"")</f>
        <v/>
      </c>
      <c r="AR98" s="127" t="str">
        <f ca="1">IF(AP98&lt;&gt;"",IF(ISNA(VLOOKUP($N98,OFFSET(選手情報!$A$6:$BD$119,AP98,0),56,FALSE)),"",VLOOKUP($N98,OFFSET(選手情報!$A$6:$BD$119,AP98,0),56,FALSE)),"")</f>
        <v/>
      </c>
      <c r="AS98" s="127" t="str">
        <f ca="1">IF(AR98&lt;&gt;"",IF(ISNA(VLOOKUP($N98,OFFSET(選手情報!$A$6:$M$119,AR98,0),13,FALSE)),"","/"&amp;VLOOKUP($N98,OFFSET(選手情報!$A$6:$M$119,AR98,0),13,FALSE)),"")</f>
        <v/>
      </c>
      <c r="AT98" s="127" t="str">
        <f ca="1">IF(AR98&lt;&gt;"",IF(ISNA(VLOOKUP($N98,OFFSET(選手情報!$A$6:$BD$119,AR98,0),56,FALSE)),"",VLOOKUP($N98,OFFSET(選手情報!$A$6:$BD$119,AR98,0),56,FALSE)),"")</f>
        <v/>
      </c>
      <c r="AU98" s="127" t="str">
        <f ca="1">IF(AT98&lt;&gt;"",IF(ISNA(VLOOKUP($N98,OFFSET(選手情報!$A$6:$M$119,AT98,0),13,FALSE)),"","/"&amp;VLOOKUP($N98,OFFSET(選手情報!$A$6:$M$119,AT98,0),13,FALSE)),"")</f>
        <v/>
      </c>
      <c r="AV98" s="127" t="str">
        <f ca="1">IF(AT98&lt;&gt;"",IF(ISNA(VLOOKUP($N98,OFFSET(選手情報!$A$6:$BD$119,AT98,0),56,FALSE)),"",VLOOKUP($N98,OFFSET(選手情報!$A$6:$BD$119,AT98,0),56,FALSE)),"")</f>
        <v/>
      </c>
      <c r="AW98" s="127" t="str">
        <f ca="1">IF(AV98&lt;&gt;"",IF(ISNA(VLOOKUP($N98,OFFSET(選手情報!$A$6:$M$119,AV98,0),13,FALSE)),"","/"&amp;VLOOKUP($N98,OFFSET(選手情報!$A$6:$M$119,AV98,0),13,FALSE)),"")</f>
        <v/>
      </c>
      <c r="AX98" s="127" t="str">
        <f ca="1">IF(AV98&lt;&gt;"",IF(ISNA(VLOOKUP($N98,OFFSET(選手情報!$A$6:$BD$119,AV98,0),56,FALSE)),"",VLOOKUP($N98,OFFSET(選手情報!$A$6:$BD$119,AV98,0),56,FALSE)),"")</f>
        <v/>
      </c>
      <c r="AY98" s="127" t="str">
        <f ca="1">IF(AX98&lt;&gt;"",IF(ISNA(VLOOKUP($N98,OFFSET(選手情報!$A$6:$M$119,AX98,0),13,FALSE)),"","/"&amp;VLOOKUP($N98,OFFSET(選手情報!$A$6:$M$119,AX98,0),13,FALSE)),"")</f>
        <v/>
      </c>
      <c r="AZ98" s="127" t="str">
        <f ca="1">IF(AX98&lt;&gt;"",IF(ISNA(VLOOKUP($N98,OFFSET(選手情報!$A$6:$BD$119,AX98,0),56,FALSE)),"",VLOOKUP($N98,OFFSET(選手情報!$A$6:$BD$119,AX98,0),56,FALSE)),"")</f>
        <v/>
      </c>
      <c r="BA98" s="127" t="str">
        <f ca="1">IF(AZ98&lt;&gt;"",IF(ISNA(VLOOKUP($N98,OFFSET(選手情報!$A$6:$M$119,AZ98,0),13,FALSE)),"","/"&amp;VLOOKUP($N98,OFFSET(選手情報!$A$6:$M$119,AZ98,0),13,FALSE)),"")</f>
        <v/>
      </c>
      <c r="BB98" s="127" t="str">
        <f ca="1">IF(AZ98&lt;&gt;"",IF(ISNA(VLOOKUP($N98,OFFSET(選手情報!$A$6:$BD$119,AZ98,0),56,FALSE)),"",VLOOKUP($N98,OFFSET(選手情報!$A$6:$BD$119,AZ98,0),56,FALSE)),"")</f>
        <v/>
      </c>
      <c r="BC98" s="127" t="str">
        <f ca="1">IF(BB98&lt;&gt;"",IF(ISNA(VLOOKUP($N98,OFFSET(選手情報!$A$6:$M$119,BB98,0),13,FALSE)),"","/"&amp;VLOOKUP($N98,OFFSET(選手情報!$A$6:$M$119,BB98,0),13,FALSE)),"")</f>
        <v/>
      </c>
      <c r="BD98" s="127" t="str">
        <f ca="1">IF(BB98&lt;&gt;"",IF(ISNA(VLOOKUP($N98,OFFSET(選手情報!$A$6:$BD$119,BB98,0),56,FALSE)),"",VLOOKUP($N98,OFFSET(選手情報!$A$6:$BD$119,BB98,0),56,FALSE)),"")</f>
        <v/>
      </c>
      <c r="BE98" s="127" t="str">
        <f ca="1">IF(BD98&lt;&gt;"",IF(ISNA(VLOOKUP($N98,OFFSET(選手情報!$A$6:$M$119,BD98,0),13,FALSE)),"","/"&amp;VLOOKUP($N98,OFFSET(選手情報!$A$6:$M$119,BD98,0),13,FALSE)),"")</f>
        <v/>
      </c>
      <c r="BF98" s="127" t="str">
        <f ca="1">IF(BD98&lt;&gt;"",IF(ISNA(VLOOKUP($N98,OFFSET(選手情報!$A$6:$BD$119,BD98,0),56,FALSE)),"",VLOOKUP($N98,OFFSET(選手情報!$A$6:$BD$119,BD98,0),56,FALSE)),"")</f>
        <v/>
      </c>
      <c r="BG98" s="127" t="str">
        <f ca="1">IF(BF98&lt;&gt;"",IF(ISNA(VLOOKUP($N98,OFFSET(選手情報!$A$6:$M$119,BF98,0),13,FALSE)),"","/"&amp;VLOOKUP($N98,OFFSET(選手情報!$A$6:$M$119,BF98,0),13,FALSE)),"")</f>
        <v/>
      </c>
      <c r="BH98" s="127" t="str">
        <f ca="1">IF(BF98&lt;&gt;"",IF(ISNA(VLOOKUP($N98,OFFSET(選手情報!$A$6:$BD$119,BF98,0),56,FALSE)),"",VLOOKUP($N98,OFFSET(選手情報!$A$6:$BD$119,BF98,0),56,FALSE)),"")</f>
        <v/>
      </c>
      <c r="BI98" s="127" t="str">
        <f ca="1">IF(BH98&lt;&gt;"",IF(ISNA(VLOOKUP($N98,OFFSET(選手情報!$A$6:$M$119,BH98,0),13,FALSE)),"","/"&amp;VLOOKUP($N98,OFFSET(選手情報!$A$6:$M$119,BH98,0),13,FALSE)),"")</f>
        <v/>
      </c>
    </row>
    <row r="99" spans="1:62" s="127" customFormat="1" ht="12.6" customHeight="1">
      <c r="A99" s="128" t="str">
        <f>IF(ISNA(VLOOKUP($C$2&amp;N99,選手データ!A:H,3,FALSE)),"",IF(M99&lt;&gt;M85,VLOOKUP($C$2&amp;N99,選手データ!A:H,3,FALSE),""))</f>
        <v/>
      </c>
      <c r="B99" s="129" t="str">
        <f>IF(A99&lt;&gt;"",VLOOKUP($C$2&amp;N99,選手データ!A:H,4,FALSE),"")</f>
        <v/>
      </c>
      <c r="C99" s="129" t="str">
        <f>IF(A99&lt;&gt;"",VLOOKUP($C$2&amp;N99,選手データ!A:H,5,FALSE),"")</f>
        <v/>
      </c>
      <c r="D99" s="129" t="str">
        <f>IF(A99&lt;&gt;"",VLOOKUP($C$2&amp;N99,選手データ!A:H,6,FALSE),"")</f>
        <v/>
      </c>
      <c r="E99" s="129" t="str">
        <f>IF(A99&lt;&gt;"",VLOOKUP($C$2&amp;N99,選手データ!A:H,7,FALSE),"")</f>
        <v/>
      </c>
      <c r="F99" s="130" t="str">
        <f>IF(A99&lt;&gt;"",VLOOKUP($C$2&amp;N99,選手データ!A:H,8,FALSE),"")</f>
        <v/>
      </c>
      <c r="G99" s="130" t="str">
        <f>IF(F99&lt;&gt;"",IF(DATEDIF(F99,設定!$B$12,"Y")&lt;20,"〇",""),"")</f>
        <v/>
      </c>
      <c r="H99" s="131" t="str">
        <f t="shared" ca="1" si="7"/>
        <v/>
      </c>
      <c r="I99" s="132" t="str">
        <f t="shared" ca="1" si="8"/>
        <v/>
      </c>
      <c r="J99" s="131" t="str">
        <f t="shared" ca="1" si="9"/>
        <v/>
      </c>
      <c r="K99" s="130" t="str">
        <f>IF(A99&lt;&gt;"",IF(COUNTIF(リレーチーム情報!$B$5:$B$10,A99&amp;E99)=1,"〇",""),"")</f>
        <v/>
      </c>
      <c r="L99" s="133" t="str">
        <f>IF(A99&lt;&gt;"",IF(COUNTIF(リレーチーム情報!$B$11:$B$16,A99&amp;E99)=1,"〇",""),"")</f>
        <v/>
      </c>
      <c r="M99" s="127">
        <f>IF(学校情報!$A$4&lt;&gt;"",0,IF(S98=0,MAX($M$37:M98)+1,M98))</f>
        <v>0</v>
      </c>
      <c r="N99" s="127" t="str">
        <f>IF(M99&lt;&gt;0,VLOOKUP(M99,選手情報!BF:BG,2,FALSE),"")</f>
        <v/>
      </c>
      <c r="O99" s="127" t="str">
        <f ca="1">IF(M99&lt;&gt;0,VLOOKUP(N99,OFFSET(選手情報!$A$6:$W$119,IF(M99&lt;&gt;M98,0,R98),0),13,FALSE),"")</f>
        <v/>
      </c>
      <c r="P99" s="127" t="str">
        <f ca="1">IF(M99&lt;&gt;0,VLOOKUP(N99,OFFSET(選手情報!$A$6:$W$119,IF(M99&lt;&gt;M98,0,R98),0),16,FALSE),"")</f>
        <v/>
      </c>
      <c r="Q99" s="127" t="str">
        <f ca="1">IF(M99&lt;&gt;0,VLOOKUP(N99,OFFSET(選手情報!$A$6:$W$119,IF(M99&lt;&gt;M98,0,R98),0),21,FALSE),"")</f>
        <v/>
      </c>
      <c r="R99" s="127">
        <f ca="1">IF(M99&lt;&gt;0,VLOOKUP(N99,OFFSET(選手情報!$A$6:$BD$119,IF(M99&lt;&gt;M98,0,R98),0),56,FALSE),0)</f>
        <v>0</v>
      </c>
      <c r="S99" s="127">
        <f ca="1">IF(M99&lt;&gt;0,IF(ISNA(R99),0,COUNTIF(OFFSET(選手情報!$A$6:$A$119,R99,0),N99)),0)</f>
        <v>0</v>
      </c>
      <c r="U99" s="127">
        <f t="shared" si="11"/>
        <v>0</v>
      </c>
      <c r="V99" s="127">
        <f t="shared" ca="1" si="4"/>
        <v>1</v>
      </c>
      <c r="W99" s="127">
        <f t="shared" ca="1" si="5"/>
        <v>0</v>
      </c>
      <c r="X99" s="127" t="str">
        <f t="shared" ca="1" si="6"/>
        <v/>
      </c>
      <c r="Y99" s="127" t="str">
        <f>IF($A99&lt;&gt;"",IF(ISNA(VLOOKUP($N99,選手情報!$A$6:$M$119,13,FALSE)),"","/"&amp;VLOOKUP($N99,選手情報!$A$6:$M$119,13,FALSE)),"")</f>
        <v/>
      </c>
      <c r="Z99" s="127" t="str">
        <f ca="1">IF(Y99&lt;&gt;"",IF(ISNA(VLOOKUP($N99,OFFSET(選手情報!$A$6:$BD$119,0,0),56,FALSE)),"",VLOOKUP($N99,OFFSET(選手情報!$A$6:$BD$119,0,0),56,FALSE)),"")</f>
        <v/>
      </c>
      <c r="AA99" s="127" t="str">
        <f ca="1">IF(Z99&lt;&gt;"",IF(ISNA(VLOOKUP($N99,OFFSET(選手情報!$A$6:$M$119,Z99,0),13,FALSE)),"","/"&amp;VLOOKUP($N99,OFFSET(選手情報!$A$6:$M$119,Z99,0),13,FALSE)),"")</f>
        <v/>
      </c>
      <c r="AB99" s="127" t="str">
        <f ca="1">IF(Z99&lt;&gt;"",IF(ISNA(VLOOKUP($N99,OFFSET(選手情報!$A$6:$BD$119,Z99,0),56,FALSE)),"",VLOOKUP($N99,OFFSET(選手情報!$A$6:$BD$119,Z99,0),56,FALSE)),"")</f>
        <v/>
      </c>
      <c r="AC99" s="127" t="str">
        <f ca="1">IF(AB99&lt;&gt;"",IF(ISNA(VLOOKUP($N99,OFFSET(選手情報!$A$6:$M$119,AB99,0),13,FALSE)),"","/"&amp;VLOOKUP($N99,OFFSET(選手情報!$A$6:$M$119,AB99,0),13,FALSE)),"")</f>
        <v/>
      </c>
      <c r="AD99" s="127" t="str">
        <f ca="1">IF(AB99&lt;&gt;"",IF(ISNA(VLOOKUP($N99,OFFSET(選手情報!$A$6:$BD$119,AB99,0),56,FALSE)),"",VLOOKUP($N99,OFFSET(選手情報!$A$6:$BD$119,AB99,0),56,FALSE)),"")</f>
        <v/>
      </c>
      <c r="AE99" s="127" t="str">
        <f ca="1">IF(AD99&lt;&gt;"",IF(ISNA(VLOOKUP($N99,OFFSET(選手情報!$A$6:$M$119,AD99,0),13,FALSE)),"","/"&amp;VLOOKUP($N99,OFFSET(選手情報!$A$6:$M$119,AD99,0),13,FALSE)),"")</f>
        <v/>
      </c>
      <c r="AF99" s="127" t="str">
        <f ca="1">IF(AD99&lt;&gt;"",IF(ISNA(VLOOKUP($N99,OFFSET(選手情報!$A$6:$BD$119,AD99,0),56,FALSE)),"",VLOOKUP($N99,OFFSET(選手情報!$A$6:$BD$119,AD99,0),56,FALSE)),"")</f>
        <v/>
      </c>
      <c r="AG99" s="127" t="str">
        <f ca="1">IF(AF99&lt;&gt;"",IF(ISNA(VLOOKUP($N99,OFFSET(選手情報!$A$6:$M$119,AF99,0),13,FALSE)),"","/"&amp;VLOOKUP($N99,OFFSET(選手情報!$A$6:$M$119,AF99,0),13,FALSE)),"")</f>
        <v/>
      </c>
      <c r="AH99" s="127" t="str">
        <f ca="1">IF(AF99&lt;&gt;"",IF(ISNA(VLOOKUP($N99,OFFSET(選手情報!$A$6:$BD$119,AF99,0),56,FALSE)),"",VLOOKUP($N99,OFFSET(選手情報!$A$6:$BD$119,AF99,0),56,FALSE)),"")</f>
        <v/>
      </c>
      <c r="AI99" s="127" t="str">
        <f ca="1">IF(AH99&lt;&gt;"",IF(ISNA(VLOOKUP($N99,OFFSET(選手情報!$A$6:$M$119,AH99,0),13,FALSE)),"","/"&amp;VLOOKUP($N99,OFFSET(選手情報!$A$6:$M$119,AH99,0),13,FALSE)),"")</f>
        <v/>
      </c>
      <c r="AJ99" s="127" t="str">
        <f ca="1">IF(AH99&lt;&gt;"",IF(ISNA(VLOOKUP($N99,OFFSET(選手情報!$A$6:$BD$119,AH99,0),56,FALSE)),"",VLOOKUP($N99,OFFSET(選手情報!$A$6:$BD$119,AH99,0),56,FALSE)),"")</f>
        <v/>
      </c>
      <c r="AK99" s="127" t="str">
        <f ca="1">IF(AJ99&lt;&gt;"",IF(ISNA(VLOOKUP($N99,OFFSET(選手情報!$A$6:$M$119,AJ99,0),13,FALSE)),"","/"&amp;VLOOKUP($N99,OFFSET(選手情報!$A$6:$M$119,AJ99,0),13,FALSE)),"")</f>
        <v/>
      </c>
      <c r="AL99" s="127" t="str">
        <f ca="1">IF(AJ99&lt;&gt;"",IF(ISNA(VLOOKUP($N99,OFFSET(選手情報!$A$6:$BD$119,AJ99,0),56,FALSE)),"",VLOOKUP($N99,OFFSET(選手情報!$A$6:$BD$119,AJ99,0),56,FALSE)),"")</f>
        <v/>
      </c>
      <c r="AM99" s="127" t="str">
        <f ca="1">IF(AL99&lt;&gt;"",IF(ISNA(VLOOKUP($N99,OFFSET(選手情報!$A$6:$M$119,AL99,0),13,FALSE)),"","/"&amp;VLOOKUP($N99,OFFSET(選手情報!$A$6:$M$119,AL99,0),13,FALSE)),"")</f>
        <v/>
      </c>
      <c r="AN99" s="127" t="str">
        <f ca="1">IF(AL99&lt;&gt;"",IF(ISNA(VLOOKUP($N99,OFFSET(選手情報!$A$6:$BD$119,AL99,0),56,FALSE)),"",VLOOKUP($N99,OFFSET(選手情報!$A$6:$BD$119,AL99,0),56,FALSE)),"")</f>
        <v/>
      </c>
      <c r="AO99" s="127" t="str">
        <f ca="1">IF(AN99&lt;&gt;"",IF(ISNA(VLOOKUP($N99,OFFSET(選手情報!$A$6:$M$119,AN99,0),13,FALSE)),"","/"&amp;VLOOKUP($N99,OFFSET(選手情報!$A$6:$M$119,AN99,0),13,FALSE)),"")</f>
        <v/>
      </c>
      <c r="AP99" s="127" t="str">
        <f ca="1">IF(AN99&lt;&gt;"",IF(ISNA(VLOOKUP($N99,OFFSET(選手情報!$A$6:$BD$119,AN99,0),56,FALSE)),"",VLOOKUP($N99,OFFSET(選手情報!$A$6:$BD$119,AN99,0),56,FALSE)),"")</f>
        <v/>
      </c>
      <c r="AQ99" s="127" t="str">
        <f ca="1">IF(AP99&lt;&gt;"",IF(ISNA(VLOOKUP($N99,OFFSET(選手情報!$A$6:$M$119,AP99,0),13,FALSE)),"","/"&amp;VLOOKUP($N99,OFFSET(選手情報!$A$6:$M$119,AP99,0),13,FALSE)),"")</f>
        <v/>
      </c>
      <c r="AR99" s="127" t="str">
        <f ca="1">IF(AP99&lt;&gt;"",IF(ISNA(VLOOKUP($N99,OFFSET(選手情報!$A$6:$BD$119,AP99,0),56,FALSE)),"",VLOOKUP($N99,OFFSET(選手情報!$A$6:$BD$119,AP99,0),56,FALSE)),"")</f>
        <v/>
      </c>
      <c r="AS99" s="127" t="str">
        <f ca="1">IF(AR99&lt;&gt;"",IF(ISNA(VLOOKUP($N99,OFFSET(選手情報!$A$6:$M$119,AR99,0),13,FALSE)),"","/"&amp;VLOOKUP($N99,OFFSET(選手情報!$A$6:$M$119,AR99,0),13,FALSE)),"")</f>
        <v/>
      </c>
      <c r="AT99" s="127" t="str">
        <f ca="1">IF(AR99&lt;&gt;"",IF(ISNA(VLOOKUP($N99,OFFSET(選手情報!$A$6:$BD$119,AR99,0),56,FALSE)),"",VLOOKUP($N99,OFFSET(選手情報!$A$6:$BD$119,AR99,0),56,FALSE)),"")</f>
        <v/>
      </c>
      <c r="AU99" s="127" t="str">
        <f ca="1">IF(AT99&lt;&gt;"",IF(ISNA(VLOOKUP($N99,OFFSET(選手情報!$A$6:$M$119,AT99,0),13,FALSE)),"","/"&amp;VLOOKUP($N99,OFFSET(選手情報!$A$6:$M$119,AT99,0),13,FALSE)),"")</f>
        <v/>
      </c>
      <c r="AV99" s="127" t="str">
        <f ca="1">IF(AT99&lt;&gt;"",IF(ISNA(VLOOKUP($N99,OFFSET(選手情報!$A$6:$BD$119,AT99,0),56,FALSE)),"",VLOOKUP($N99,OFFSET(選手情報!$A$6:$BD$119,AT99,0),56,FALSE)),"")</f>
        <v/>
      </c>
      <c r="AW99" s="127" t="str">
        <f ca="1">IF(AV99&lt;&gt;"",IF(ISNA(VLOOKUP($N99,OFFSET(選手情報!$A$6:$M$119,AV99,0),13,FALSE)),"","/"&amp;VLOOKUP($N99,OFFSET(選手情報!$A$6:$M$119,AV99,0),13,FALSE)),"")</f>
        <v/>
      </c>
      <c r="AX99" s="127" t="str">
        <f ca="1">IF(AV99&lt;&gt;"",IF(ISNA(VLOOKUP($N99,OFFSET(選手情報!$A$6:$BD$119,AV99,0),56,FALSE)),"",VLOOKUP($N99,OFFSET(選手情報!$A$6:$BD$119,AV99,0),56,FALSE)),"")</f>
        <v/>
      </c>
      <c r="AY99" s="127" t="str">
        <f ca="1">IF(AX99&lt;&gt;"",IF(ISNA(VLOOKUP($N99,OFFSET(選手情報!$A$6:$M$119,AX99,0),13,FALSE)),"","/"&amp;VLOOKUP($N99,OFFSET(選手情報!$A$6:$M$119,AX99,0),13,FALSE)),"")</f>
        <v/>
      </c>
      <c r="AZ99" s="127" t="str">
        <f ca="1">IF(AX99&lt;&gt;"",IF(ISNA(VLOOKUP($N99,OFFSET(選手情報!$A$6:$BD$119,AX99,0),56,FALSE)),"",VLOOKUP($N99,OFFSET(選手情報!$A$6:$BD$119,AX99,0),56,FALSE)),"")</f>
        <v/>
      </c>
      <c r="BA99" s="127" t="str">
        <f ca="1">IF(AZ99&lt;&gt;"",IF(ISNA(VLOOKUP($N99,OFFSET(選手情報!$A$6:$M$119,AZ99,0),13,FALSE)),"","/"&amp;VLOOKUP($N99,OFFSET(選手情報!$A$6:$M$119,AZ99,0),13,FALSE)),"")</f>
        <v/>
      </c>
      <c r="BB99" s="127" t="str">
        <f ca="1">IF(AZ99&lt;&gt;"",IF(ISNA(VLOOKUP($N99,OFFSET(選手情報!$A$6:$BD$119,AZ99,0),56,FALSE)),"",VLOOKUP($N99,OFFSET(選手情報!$A$6:$BD$119,AZ99,0),56,FALSE)),"")</f>
        <v/>
      </c>
      <c r="BC99" s="127" t="str">
        <f ca="1">IF(BB99&lt;&gt;"",IF(ISNA(VLOOKUP($N99,OFFSET(選手情報!$A$6:$M$119,BB99,0),13,FALSE)),"","/"&amp;VLOOKUP($N99,OFFSET(選手情報!$A$6:$M$119,BB99,0),13,FALSE)),"")</f>
        <v/>
      </c>
      <c r="BD99" s="127" t="str">
        <f ca="1">IF(BB99&lt;&gt;"",IF(ISNA(VLOOKUP($N99,OFFSET(選手情報!$A$6:$BD$119,BB99,0),56,FALSE)),"",VLOOKUP($N99,OFFSET(選手情報!$A$6:$BD$119,BB99,0),56,FALSE)),"")</f>
        <v/>
      </c>
      <c r="BE99" s="127" t="str">
        <f ca="1">IF(BD99&lt;&gt;"",IF(ISNA(VLOOKUP($N99,OFFSET(選手情報!$A$6:$M$119,BD99,0),13,FALSE)),"","/"&amp;VLOOKUP($N99,OFFSET(選手情報!$A$6:$M$119,BD99,0),13,FALSE)),"")</f>
        <v/>
      </c>
      <c r="BF99" s="127" t="str">
        <f ca="1">IF(BD99&lt;&gt;"",IF(ISNA(VLOOKUP($N99,OFFSET(選手情報!$A$6:$BD$119,BD99,0),56,FALSE)),"",VLOOKUP($N99,OFFSET(選手情報!$A$6:$BD$119,BD99,0),56,FALSE)),"")</f>
        <v/>
      </c>
      <c r="BG99" s="127" t="str">
        <f ca="1">IF(BF99&lt;&gt;"",IF(ISNA(VLOOKUP($N99,OFFSET(選手情報!$A$6:$M$119,BF99,0),13,FALSE)),"","/"&amp;VLOOKUP($N99,OFFSET(選手情報!$A$6:$M$119,BF99,0),13,FALSE)),"")</f>
        <v/>
      </c>
      <c r="BH99" s="127" t="str">
        <f ca="1">IF(BF99&lt;&gt;"",IF(ISNA(VLOOKUP($N99,OFFSET(選手情報!$A$6:$BD$119,BF99,0),56,FALSE)),"",VLOOKUP($N99,OFFSET(選手情報!$A$6:$BD$119,BF99,0),56,FALSE)),"")</f>
        <v/>
      </c>
      <c r="BI99" s="127" t="str">
        <f ca="1">IF(BH99&lt;&gt;"",IF(ISNA(VLOOKUP($N99,OFFSET(選手情報!$A$6:$M$119,BH99,0),13,FALSE)),"","/"&amp;VLOOKUP($N99,OFFSET(選手情報!$A$6:$M$119,BH99,0),13,FALSE)),"")</f>
        <v/>
      </c>
    </row>
    <row r="100" spans="1:62" s="127" customFormat="1" ht="12.6" customHeight="1">
      <c r="A100" s="128" t="str">
        <f>IF(ISNA(VLOOKUP($C$2&amp;N100,選手データ!A:H,3,FALSE)),"",IF(M100&lt;&gt;M86,VLOOKUP($C$2&amp;N100,選手データ!A:H,3,FALSE),""))</f>
        <v/>
      </c>
      <c r="B100" s="129" t="str">
        <f>IF(A100&lt;&gt;"",VLOOKUP($C$2&amp;N100,選手データ!A:H,4,FALSE),"")</f>
        <v/>
      </c>
      <c r="C100" s="129" t="str">
        <f>IF(A100&lt;&gt;"",VLOOKUP($C$2&amp;N100,選手データ!A:H,5,FALSE),"")</f>
        <v/>
      </c>
      <c r="D100" s="129" t="str">
        <f>IF(A100&lt;&gt;"",VLOOKUP($C$2&amp;N100,選手データ!A:H,6,FALSE),"")</f>
        <v/>
      </c>
      <c r="E100" s="129" t="str">
        <f>IF(A100&lt;&gt;"",VLOOKUP($C$2&amp;N100,選手データ!A:H,7,FALSE),"")</f>
        <v/>
      </c>
      <c r="F100" s="130" t="str">
        <f>IF(A100&lt;&gt;"",VLOOKUP($C$2&amp;N100,選手データ!A:H,8,FALSE),"")</f>
        <v/>
      </c>
      <c r="G100" s="130" t="str">
        <f>IF(F100&lt;&gt;"",IF(DATEDIF(F100,設定!$B$12,"Y")&lt;20,"〇",""),"")</f>
        <v/>
      </c>
      <c r="H100" s="131" t="str">
        <f t="shared" ca="1" si="7"/>
        <v/>
      </c>
      <c r="I100" s="132" t="str">
        <f t="shared" ca="1" si="8"/>
        <v/>
      </c>
      <c r="J100" s="131" t="str">
        <f t="shared" ca="1" si="9"/>
        <v/>
      </c>
      <c r="K100" s="130" t="str">
        <f>IF(A100&lt;&gt;"",IF(COUNTIF(リレーチーム情報!$B$5:$B$10,A100&amp;E100)=1,"〇",""),"")</f>
        <v/>
      </c>
      <c r="L100" s="133" t="str">
        <f>IF(A100&lt;&gt;"",IF(COUNTIF(リレーチーム情報!$B$11:$B$16,A100&amp;E100)=1,"〇",""),"")</f>
        <v/>
      </c>
      <c r="M100" s="127">
        <f>IF(学校情報!$A$4&lt;&gt;"",0,IF(S99=0,MAX($M$37:M99)+1,M99))</f>
        <v>0</v>
      </c>
      <c r="N100" s="127" t="str">
        <f>IF(M100&lt;&gt;0,VLOOKUP(M100,選手情報!BF:BG,2,FALSE),"")</f>
        <v/>
      </c>
      <c r="O100" s="127" t="str">
        <f ca="1">IF(M100&lt;&gt;0,VLOOKUP(N100,OFFSET(選手情報!$A$6:$W$119,IF(M100&lt;&gt;M99,0,R99),0),13,FALSE),"")</f>
        <v/>
      </c>
      <c r="P100" s="127" t="str">
        <f ca="1">IF(M100&lt;&gt;0,VLOOKUP(N100,OFFSET(選手情報!$A$6:$W$119,IF(M100&lt;&gt;M99,0,R99),0),16,FALSE),"")</f>
        <v/>
      </c>
      <c r="Q100" s="127" t="str">
        <f ca="1">IF(M100&lt;&gt;0,VLOOKUP(N100,OFFSET(選手情報!$A$6:$W$119,IF(M100&lt;&gt;M99,0,R99),0),21,FALSE),"")</f>
        <v/>
      </c>
      <c r="R100" s="127">
        <f ca="1">IF(M100&lt;&gt;0,VLOOKUP(N100,OFFSET(選手情報!$A$6:$BD$119,IF(M100&lt;&gt;M99,0,R99),0),56,FALSE),0)</f>
        <v>0</v>
      </c>
      <c r="S100" s="127">
        <f ca="1">IF(M100&lt;&gt;0,IF(ISNA(R100),0,COUNTIF(OFFSET(選手情報!$A$6:$A$119,R100,0),N100)),0)</f>
        <v>0</v>
      </c>
      <c r="U100" s="127">
        <f t="shared" si="11"/>
        <v>0</v>
      </c>
      <c r="V100" s="127">
        <f t="shared" ca="1" si="4"/>
        <v>1</v>
      </c>
      <c r="W100" s="127">
        <f t="shared" ca="1" si="5"/>
        <v>0</v>
      </c>
      <c r="X100" s="127" t="str">
        <f t="shared" ca="1" si="6"/>
        <v/>
      </c>
      <c r="Y100" s="127" t="str">
        <f>IF($A100&lt;&gt;"",IF(ISNA(VLOOKUP($N100,選手情報!$A$6:$M$119,13,FALSE)),"","/"&amp;VLOOKUP($N100,選手情報!$A$6:$M$119,13,FALSE)),"")</f>
        <v/>
      </c>
      <c r="Z100" s="127" t="str">
        <f ca="1">IF(Y100&lt;&gt;"",IF(ISNA(VLOOKUP($N100,OFFSET(選手情報!$A$6:$BD$119,0,0),56,FALSE)),"",VLOOKUP($N100,OFFSET(選手情報!$A$6:$BD$119,0,0),56,FALSE)),"")</f>
        <v/>
      </c>
      <c r="AA100" s="127" t="str">
        <f ca="1">IF(Z100&lt;&gt;"",IF(ISNA(VLOOKUP($N100,OFFSET(選手情報!$A$6:$M$119,Z100,0),13,FALSE)),"","/"&amp;VLOOKUP($N100,OFFSET(選手情報!$A$6:$M$119,Z100,0),13,FALSE)),"")</f>
        <v/>
      </c>
      <c r="AB100" s="127" t="str">
        <f ca="1">IF(Z100&lt;&gt;"",IF(ISNA(VLOOKUP($N100,OFFSET(選手情報!$A$6:$BD$119,Z100,0),56,FALSE)),"",VLOOKUP($N100,OFFSET(選手情報!$A$6:$BD$119,Z100,0),56,FALSE)),"")</f>
        <v/>
      </c>
      <c r="AC100" s="127" t="str">
        <f ca="1">IF(AB100&lt;&gt;"",IF(ISNA(VLOOKUP($N100,OFFSET(選手情報!$A$6:$M$119,AB100,0),13,FALSE)),"","/"&amp;VLOOKUP($N100,OFFSET(選手情報!$A$6:$M$119,AB100,0),13,FALSE)),"")</f>
        <v/>
      </c>
      <c r="AD100" s="127" t="str">
        <f ca="1">IF(AB100&lt;&gt;"",IF(ISNA(VLOOKUP($N100,OFFSET(選手情報!$A$6:$BD$119,AB100,0),56,FALSE)),"",VLOOKUP($N100,OFFSET(選手情報!$A$6:$BD$119,AB100,0),56,FALSE)),"")</f>
        <v/>
      </c>
      <c r="AE100" s="127" t="str">
        <f ca="1">IF(AD100&lt;&gt;"",IF(ISNA(VLOOKUP($N100,OFFSET(選手情報!$A$6:$M$119,AD100,0),13,FALSE)),"","/"&amp;VLOOKUP($N100,OFFSET(選手情報!$A$6:$M$119,AD100,0),13,FALSE)),"")</f>
        <v/>
      </c>
      <c r="AF100" s="127" t="str">
        <f ca="1">IF(AD100&lt;&gt;"",IF(ISNA(VLOOKUP($N100,OFFSET(選手情報!$A$6:$BD$119,AD100,0),56,FALSE)),"",VLOOKUP($N100,OFFSET(選手情報!$A$6:$BD$119,AD100,0),56,FALSE)),"")</f>
        <v/>
      </c>
      <c r="AG100" s="127" t="str">
        <f ca="1">IF(AF100&lt;&gt;"",IF(ISNA(VLOOKUP($N100,OFFSET(選手情報!$A$6:$M$119,AF100,0),13,FALSE)),"","/"&amp;VLOOKUP($N100,OFFSET(選手情報!$A$6:$M$119,AF100,0),13,FALSE)),"")</f>
        <v/>
      </c>
      <c r="AH100" s="127" t="str">
        <f ca="1">IF(AF100&lt;&gt;"",IF(ISNA(VLOOKUP($N100,OFFSET(選手情報!$A$6:$BD$119,AF100,0),56,FALSE)),"",VLOOKUP($N100,OFFSET(選手情報!$A$6:$BD$119,AF100,0),56,FALSE)),"")</f>
        <v/>
      </c>
      <c r="AI100" s="127" t="str">
        <f ca="1">IF(AH100&lt;&gt;"",IF(ISNA(VLOOKUP($N100,OFFSET(選手情報!$A$6:$M$119,AH100,0),13,FALSE)),"","/"&amp;VLOOKUP($N100,OFFSET(選手情報!$A$6:$M$119,AH100,0),13,FALSE)),"")</f>
        <v/>
      </c>
      <c r="AJ100" s="127" t="str">
        <f ca="1">IF(AH100&lt;&gt;"",IF(ISNA(VLOOKUP($N100,OFFSET(選手情報!$A$6:$BD$119,AH100,0),56,FALSE)),"",VLOOKUP($N100,OFFSET(選手情報!$A$6:$BD$119,AH100,0),56,FALSE)),"")</f>
        <v/>
      </c>
      <c r="AK100" s="127" t="str">
        <f ca="1">IF(AJ100&lt;&gt;"",IF(ISNA(VLOOKUP($N100,OFFSET(選手情報!$A$6:$M$119,AJ100,0),13,FALSE)),"","/"&amp;VLOOKUP($N100,OFFSET(選手情報!$A$6:$M$119,AJ100,0),13,FALSE)),"")</f>
        <v/>
      </c>
      <c r="AL100" s="127" t="str">
        <f ca="1">IF(AJ100&lt;&gt;"",IF(ISNA(VLOOKUP($N100,OFFSET(選手情報!$A$6:$BD$119,AJ100,0),56,FALSE)),"",VLOOKUP($N100,OFFSET(選手情報!$A$6:$BD$119,AJ100,0),56,FALSE)),"")</f>
        <v/>
      </c>
      <c r="AM100" s="127" t="str">
        <f ca="1">IF(AL100&lt;&gt;"",IF(ISNA(VLOOKUP($N100,OFFSET(選手情報!$A$6:$M$119,AL100,0),13,FALSE)),"","/"&amp;VLOOKUP($N100,OFFSET(選手情報!$A$6:$M$119,AL100,0),13,FALSE)),"")</f>
        <v/>
      </c>
      <c r="AN100" s="127" t="str">
        <f ca="1">IF(AL100&lt;&gt;"",IF(ISNA(VLOOKUP($N100,OFFSET(選手情報!$A$6:$BD$119,AL100,0),56,FALSE)),"",VLOOKUP($N100,OFFSET(選手情報!$A$6:$BD$119,AL100,0),56,FALSE)),"")</f>
        <v/>
      </c>
      <c r="AO100" s="127" t="str">
        <f ca="1">IF(AN100&lt;&gt;"",IF(ISNA(VLOOKUP($N100,OFFSET(選手情報!$A$6:$M$119,AN100,0),13,FALSE)),"","/"&amp;VLOOKUP($N100,OFFSET(選手情報!$A$6:$M$119,AN100,0),13,FALSE)),"")</f>
        <v/>
      </c>
      <c r="AP100" s="127" t="str">
        <f ca="1">IF(AN100&lt;&gt;"",IF(ISNA(VLOOKUP($N100,OFFSET(選手情報!$A$6:$BD$119,AN100,0),56,FALSE)),"",VLOOKUP($N100,OFFSET(選手情報!$A$6:$BD$119,AN100,0),56,FALSE)),"")</f>
        <v/>
      </c>
      <c r="AQ100" s="127" t="str">
        <f ca="1">IF(AP100&lt;&gt;"",IF(ISNA(VLOOKUP($N100,OFFSET(選手情報!$A$6:$M$119,AP100,0),13,FALSE)),"","/"&amp;VLOOKUP($N100,OFFSET(選手情報!$A$6:$M$119,AP100,0),13,FALSE)),"")</f>
        <v/>
      </c>
      <c r="AR100" s="127" t="str">
        <f ca="1">IF(AP100&lt;&gt;"",IF(ISNA(VLOOKUP($N100,OFFSET(選手情報!$A$6:$BD$119,AP100,0),56,FALSE)),"",VLOOKUP($N100,OFFSET(選手情報!$A$6:$BD$119,AP100,0),56,FALSE)),"")</f>
        <v/>
      </c>
      <c r="AS100" s="127" t="str">
        <f ca="1">IF(AR100&lt;&gt;"",IF(ISNA(VLOOKUP($N100,OFFSET(選手情報!$A$6:$M$119,AR100,0),13,FALSE)),"","/"&amp;VLOOKUP($N100,OFFSET(選手情報!$A$6:$M$119,AR100,0),13,FALSE)),"")</f>
        <v/>
      </c>
      <c r="AT100" s="127" t="str">
        <f ca="1">IF(AR100&lt;&gt;"",IF(ISNA(VLOOKUP($N100,OFFSET(選手情報!$A$6:$BD$119,AR100,0),56,FALSE)),"",VLOOKUP($N100,OFFSET(選手情報!$A$6:$BD$119,AR100,0),56,FALSE)),"")</f>
        <v/>
      </c>
      <c r="AU100" s="127" t="str">
        <f ca="1">IF(AT100&lt;&gt;"",IF(ISNA(VLOOKUP($N100,OFFSET(選手情報!$A$6:$M$119,AT100,0),13,FALSE)),"","/"&amp;VLOOKUP($N100,OFFSET(選手情報!$A$6:$M$119,AT100,0),13,FALSE)),"")</f>
        <v/>
      </c>
      <c r="AV100" s="127" t="str">
        <f ca="1">IF(AT100&lt;&gt;"",IF(ISNA(VLOOKUP($N100,OFFSET(選手情報!$A$6:$BD$119,AT100,0),56,FALSE)),"",VLOOKUP($N100,OFFSET(選手情報!$A$6:$BD$119,AT100,0),56,FALSE)),"")</f>
        <v/>
      </c>
      <c r="AW100" s="127" t="str">
        <f ca="1">IF(AV100&lt;&gt;"",IF(ISNA(VLOOKUP($N100,OFFSET(選手情報!$A$6:$M$119,AV100,0),13,FALSE)),"","/"&amp;VLOOKUP($N100,OFFSET(選手情報!$A$6:$M$119,AV100,0),13,FALSE)),"")</f>
        <v/>
      </c>
      <c r="AX100" s="127" t="str">
        <f ca="1">IF(AV100&lt;&gt;"",IF(ISNA(VLOOKUP($N100,OFFSET(選手情報!$A$6:$BD$119,AV100,0),56,FALSE)),"",VLOOKUP($N100,OFFSET(選手情報!$A$6:$BD$119,AV100,0),56,FALSE)),"")</f>
        <v/>
      </c>
      <c r="AY100" s="127" t="str">
        <f ca="1">IF(AX100&lt;&gt;"",IF(ISNA(VLOOKUP($N100,OFFSET(選手情報!$A$6:$M$119,AX100,0),13,FALSE)),"","/"&amp;VLOOKUP($N100,OFFSET(選手情報!$A$6:$M$119,AX100,0),13,FALSE)),"")</f>
        <v/>
      </c>
      <c r="AZ100" s="127" t="str">
        <f ca="1">IF(AX100&lt;&gt;"",IF(ISNA(VLOOKUP($N100,OFFSET(選手情報!$A$6:$BD$119,AX100,0),56,FALSE)),"",VLOOKUP($N100,OFFSET(選手情報!$A$6:$BD$119,AX100,0),56,FALSE)),"")</f>
        <v/>
      </c>
      <c r="BA100" s="127" t="str">
        <f ca="1">IF(AZ100&lt;&gt;"",IF(ISNA(VLOOKUP($N100,OFFSET(選手情報!$A$6:$M$119,AZ100,0),13,FALSE)),"","/"&amp;VLOOKUP($N100,OFFSET(選手情報!$A$6:$M$119,AZ100,0),13,FALSE)),"")</f>
        <v/>
      </c>
      <c r="BB100" s="127" t="str">
        <f ca="1">IF(AZ100&lt;&gt;"",IF(ISNA(VLOOKUP($N100,OFFSET(選手情報!$A$6:$BD$119,AZ100,0),56,FALSE)),"",VLOOKUP($N100,OFFSET(選手情報!$A$6:$BD$119,AZ100,0),56,FALSE)),"")</f>
        <v/>
      </c>
      <c r="BC100" s="127" t="str">
        <f ca="1">IF(BB100&lt;&gt;"",IF(ISNA(VLOOKUP($N100,OFFSET(選手情報!$A$6:$M$119,BB100,0),13,FALSE)),"","/"&amp;VLOOKUP($N100,OFFSET(選手情報!$A$6:$M$119,BB100,0),13,FALSE)),"")</f>
        <v/>
      </c>
      <c r="BD100" s="127" t="str">
        <f ca="1">IF(BB100&lt;&gt;"",IF(ISNA(VLOOKUP($N100,OFFSET(選手情報!$A$6:$BD$119,BB100,0),56,FALSE)),"",VLOOKUP($N100,OFFSET(選手情報!$A$6:$BD$119,BB100,0),56,FALSE)),"")</f>
        <v/>
      </c>
      <c r="BE100" s="127" t="str">
        <f ca="1">IF(BD100&lt;&gt;"",IF(ISNA(VLOOKUP($N100,OFFSET(選手情報!$A$6:$M$119,BD100,0),13,FALSE)),"","/"&amp;VLOOKUP($N100,OFFSET(選手情報!$A$6:$M$119,BD100,0),13,FALSE)),"")</f>
        <v/>
      </c>
      <c r="BF100" s="127" t="str">
        <f ca="1">IF(BD100&lt;&gt;"",IF(ISNA(VLOOKUP($N100,OFFSET(選手情報!$A$6:$BD$119,BD100,0),56,FALSE)),"",VLOOKUP($N100,OFFSET(選手情報!$A$6:$BD$119,BD100,0),56,FALSE)),"")</f>
        <v/>
      </c>
      <c r="BG100" s="127" t="str">
        <f ca="1">IF(BF100&lt;&gt;"",IF(ISNA(VLOOKUP($N100,OFFSET(選手情報!$A$6:$M$119,BF100,0),13,FALSE)),"","/"&amp;VLOOKUP($N100,OFFSET(選手情報!$A$6:$M$119,BF100,0),13,FALSE)),"")</f>
        <v/>
      </c>
      <c r="BH100" s="127" t="str">
        <f ca="1">IF(BF100&lt;&gt;"",IF(ISNA(VLOOKUP($N100,OFFSET(選手情報!$A$6:$BD$119,BF100,0),56,FALSE)),"",VLOOKUP($N100,OFFSET(選手情報!$A$6:$BD$119,BF100,0),56,FALSE)),"")</f>
        <v/>
      </c>
      <c r="BI100" s="127" t="str">
        <f ca="1">IF(BH100&lt;&gt;"",IF(ISNA(VLOOKUP($N100,OFFSET(選手情報!$A$6:$M$119,BH100,0),13,FALSE)),"","/"&amp;VLOOKUP($N100,OFFSET(選手情報!$A$6:$M$119,BH100,0),13,FALSE)),"")</f>
        <v/>
      </c>
    </row>
    <row r="101" spans="1:62" s="127" customFormat="1" ht="12.6" customHeight="1">
      <c r="A101" s="128" t="str">
        <f>IF(ISNA(VLOOKUP($C$2&amp;N101,選手データ!A:H,3,FALSE)),"",IF(M101&lt;&gt;M87,VLOOKUP($C$2&amp;N101,選手データ!A:H,3,FALSE),""))</f>
        <v/>
      </c>
      <c r="B101" s="129" t="str">
        <f>IF(A101&lt;&gt;"",VLOOKUP($C$2&amp;N101,選手データ!A:H,4,FALSE),"")</f>
        <v/>
      </c>
      <c r="C101" s="129" t="str">
        <f>IF(A101&lt;&gt;"",VLOOKUP($C$2&amp;N101,選手データ!A:H,5,FALSE),"")</f>
        <v/>
      </c>
      <c r="D101" s="129" t="str">
        <f>IF(A101&lt;&gt;"",VLOOKUP($C$2&amp;N101,選手データ!A:H,6,FALSE),"")</f>
        <v/>
      </c>
      <c r="E101" s="129" t="str">
        <f>IF(A101&lt;&gt;"",VLOOKUP($C$2&amp;N101,選手データ!A:H,7,FALSE),"")</f>
        <v/>
      </c>
      <c r="F101" s="130" t="str">
        <f>IF(A101&lt;&gt;"",VLOOKUP($C$2&amp;N101,選手データ!A:H,8,FALSE),"")</f>
        <v/>
      </c>
      <c r="G101" s="130" t="str">
        <f>IF(F101&lt;&gt;"",IF(DATEDIF(F101,設定!$B$12,"Y")&lt;20,"〇",""),"")</f>
        <v/>
      </c>
      <c r="H101" s="131" t="str">
        <f t="shared" ca="1" si="7"/>
        <v/>
      </c>
      <c r="I101" s="132" t="str">
        <f t="shared" ca="1" si="8"/>
        <v/>
      </c>
      <c r="J101" s="131" t="str">
        <f t="shared" ca="1" si="9"/>
        <v/>
      </c>
      <c r="K101" s="130" t="str">
        <f>IF(A101&lt;&gt;"",IF(COUNTIF(リレーチーム情報!$B$5:$B$10,A101&amp;E101)=1,"〇",""),"")</f>
        <v/>
      </c>
      <c r="L101" s="133" t="str">
        <f>IF(A101&lt;&gt;"",IF(COUNTIF(リレーチーム情報!$B$11:$B$16,A101&amp;E101)=1,"〇",""),"")</f>
        <v/>
      </c>
      <c r="M101" s="127">
        <f>IF(学校情報!$A$4&lt;&gt;"",0,IF(S100=0,MAX($M$37:M100)+1,M100))</f>
        <v>0</v>
      </c>
      <c r="N101" s="127" t="str">
        <f>IF(M101&lt;&gt;0,VLOOKUP(M101,選手情報!BF:BG,2,FALSE),"")</f>
        <v/>
      </c>
      <c r="O101" s="127" t="str">
        <f ca="1">IF(M101&lt;&gt;0,VLOOKUP(N101,OFFSET(選手情報!$A$6:$W$119,IF(M101&lt;&gt;M100,0,R100),0),13,FALSE),"")</f>
        <v/>
      </c>
      <c r="P101" s="127" t="str">
        <f ca="1">IF(M101&lt;&gt;0,VLOOKUP(N101,OFFSET(選手情報!$A$6:$W$119,IF(M101&lt;&gt;M100,0,R100),0),16,FALSE),"")</f>
        <v/>
      </c>
      <c r="Q101" s="127" t="str">
        <f ca="1">IF(M101&lt;&gt;0,VLOOKUP(N101,OFFSET(選手情報!$A$6:$W$119,IF(M101&lt;&gt;M100,0,R100),0),21,FALSE),"")</f>
        <v/>
      </c>
      <c r="R101" s="127">
        <f ca="1">IF(M101&lt;&gt;0,VLOOKUP(N101,OFFSET(選手情報!$A$6:$BD$119,IF(M101&lt;&gt;M100,0,R100),0),56,FALSE),0)</f>
        <v>0</v>
      </c>
      <c r="S101" s="127">
        <f ca="1">IF(M101&lt;&gt;0,IF(ISNA(R101),0,COUNTIF(OFFSET(選手情報!$A$6:$A$119,R101,0),N101)),0)</f>
        <v>0</v>
      </c>
      <c r="U101" s="127">
        <f t="shared" si="11"/>
        <v>0</v>
      </c>
      <c r="V101" s="127">
        <f t="shared" ca="1" si="4"/>
        <v>1</v>
      </c>
      <c r="W101" s="127">
        <f t="shared" ca="1" si="5"/>
        <v>0</v>
      </c>
      <c r="X101" s="127" t="str">
        <f t="shared" ca="1" si="6"/>
        <v/>
      </c>
      <c r="Y101" s="127" t="str">
        <f>IF($A101&lt;&gt;"",IF(ISNA(VLOOKUP($N101,選手情報!$A$6:$M$119,13,FALSE)),"","/"&amp;VLOOKUP($N101,選手情報!$A$6:$M$119,13,FALSE)),"")</f>
        <v/>
      </c>
      <c r="Z101" s="127" t="str">
        <f ca="1">IF(Y101&lt;&gt;"",IF(ISNA(VLOOKUP($N101,OFFSET(選手情報!$A$6:$BD$119,0,0),56,FALSE)),"",VLOOKUP($N101,OFFSET(選手情報!$A$6:$BD$119,0,0),56,FALSE)),"")</f>
        <v/>
      </c>
      <c r="AA101" s="127" t="str">
        <f ca="1">IF(Z101&lt;&gt;"",IF(ISNA(VLOOKUP($N101,OFFSET(選手情報!$A$6:$M$119,Z101,0),13,FALSE)),"","/"&amp;VLOOKUP($N101,OFFSET(選手情報!$A$6:$M$119,Z101,0),13,FALSE)),"")</f>
        <v/>
      </c>
      <c r="AB101" s="127" t="str">
        <f ca="1">IF(Z101&lt;&gt;"",IF(ISNA(VLOOKUP($N101,OFFSET(選手情報!$A$6:$BD$119,Z101,0),56,FALSE)),"",VLOOKUP($N101,OFFSET(選手情報!$A$6:$BD$119,Z101,0),56,FALSE)),"")</f>
        <v/>
      </c>
      <c r="AC101" s="127" t="str">
        <f ca="1">IF(AB101&lt;&gt;"",IF(ISNA(VLOOKUP($N101,OFFSET(選手情報!$A$6:$M$119,AB101,0),13,FALSE)),"","/"&amp;VLOOKUP($N101,OFFSET(選手情報!$A$6:$M$119,AB101,0),13,FALSE)),"")</f>
        <v/>
      </c>
      <c r="AD101" s="127" t="str">
        <f ca="1">IF(AB101&lt;&gt;"",IF(ISNA(VLOOKUP($N101,OFFSET(選手情報!$A$6:$BD$119,AB101,0),56,FALSE)),"",VLOOKUP($N101,OFFSET(選手情報!$A$6:$BD$119,AB101,0),56,FALSE)),"")</f>
        <v/>
      </c>
      <c r="AE101" s="127" t="str">
        <f ca="1">IF(AD101&lt;&gt;"",IF(ISNA(VLOOKUP($N101,OFFSET(選手情報!$A$6:$M$119,AD101,0),13,FALSE)),"","/"&amp;VLOOKUP($N101,OFFSET(選手情報!$A$6:$M$119,AD101,0),13,FALSE)),"")</f>
        <v/>
      </c>
      <c r="AF101" s="127" t="str">
        <f ca="1">IF(AD101&lt;&gt;"",IF(ISNA(VLOOKUP($N101,OFFSET(選手情報!$A$6:$BD$119,AD101,0),56,FALSE)),"",VLOOKUP($N101,OFFSET(選手情報!$A$6:$BD$119,AD101,0),56,FALSE)),"")</f>
        <v/>
      </c>
      <c r="AG101" s="127" t="str">
        <f ca="1">IF(AF101&lt;&gt;"",IF(ISNA(VLOOKUP($N101,OFFSET(選手情報!$A$6:$M$119,AF101,0),13,FALSE)),"","/"&amp;VLOOKUP($N101,OFFSET(選手情報!$A$6:$M$119,AF101,0),13,FALSE)),"")</f>
        <v/>
      </c>
      <c r="AH101" s="127" t="str">
        <f ca="1">IF(AF101&lt;&gt;"",IF(ISNA(VLOOKUP($N101,OFFSET(選手情報!$A$6:$BD$119,AF101,0),56,FALSE)),"",VLOOKUP($N101,OFFSET(選手情報!$A$6:$BD$119,AF101,0),56,FALSE)),"")</f>
        <v/>
      </c>
      <c r="AI101" s="127" t="str">
        <f ca="1">IF(AH101&lt;&gt;"",IF(ISNA(VLOOKUP($N101,OFFSET(選手情報!$A$6:$M$119,AH101,0),13,FALSE)),"","/"&amp;VLOOKUP($N101,OFFSET(選手情報!$A$6:$M$119,AH101,0),13,FALSE)),"")</f>
        <v/>
      </c>
      <c r="AJ101" s="127" t="str">
        <f ca="1">IF(AH101&lt;&gt;"",IF(ISNA(VLOOKUP($N101,OFFSET(選手情報!$A$6:$BD$119,AH101,0),56,FALSE)),"",VLOOKUP($N101,OFFSET(選手情報!$A$6:$BD$119,AH101,0),56,FALSE)),"")</f>
        <v/>
      </c>
      <c r="AK101" s="127" t="str">
        <f ca="1">IF(AJ101&lt;&gt;"",IF(ISNA(VLOOKUP($N101,OFFSET(選手情報!$A$6:$M$119,AJ101,0),13,FALSE)),"","/"&amp;VLOOKUP($N101,OFFSET(選手情報!$A$6:$M$119,AJ101,0),13,FALSE)),"")</f>
        <v/>
      </c>
      <c r="AL101" s="127" t="str">
        <f ca="1">IF(AJ101&lt;&gt;"",IF(ISNA(VLOOKUP($N101,OFFSET(選手情報!$A$6:$BD$119,AJ101,0),56,FALSE)),"",VLOOKUP($N101,OFFSET(選手情報!$A$6:$BD$119,AJ101,0),56,FALSE)),"")</f>
        <v/>
      </c>
      <c r="AM101" s="127" t="str">
        <f ca="1">IF(AL101&lt;&gt;"",IF(ISNA(VLOOKUP($N101,OFFSET(選手情報!$A$6:$M$119,AL101,0),13,FALSE)),"","/"&amp;VLOOKUP($N101,OFFSET(選手情報!$A$6:$M$119,AL101,0),13,FALSE)),"")</f>
        <v/>
      </c>
      <c r="AN101" s="127" t="str">
        <f ca="1">IF(AL101&lt;&gt;"",IF(ISNA(VLOOKUP($N101,OFFSET(選手情報!$A$6:$BD$119,AL101,0),56,FALSE)),"",VLOOKUP($N101,OFFSET(選手情報!$A$6:$BD$119,AL101,0),56,FALSE)),"")</f>
        <v/>
      </c>
      <c r="AO101" s="127" t="str">
        <f ca="1">IF(AN101&lt;&gt;"",IF(ISNA(VLOOKUP($N101,OFFSET(選手情報!$A$6:$M$119,AN101,0),13,FALSE)),"","/"&amp;VLOOKUP($N101,OFFSET(選手情報!$A$6:$M$119,AN101,0),13,FALSE)),"")</f>
        <v/>
      </c>
      <c r="AP101" s="127" t="str">
        <f ca="1">IF(AN101&lt;&gt;"",IF(ISNA(VLOOKUP($N101,OFFSET(選手情報!$A$6:$BD$119,AN101,0),56,FALSE)),"",VLOOKUP($N101,OFFSET(選手情報!$A$6:$BD$119,AN101,0),56,FALSE)),"")</f>
        <v/>
      </c>
      <c r="AQ101" s="127" t="str">
        <f ca="1">IF(AP101&lt;&gt;"",IF(ISNA(VLOOKUP($N101,OFFSET(選手情報!$A$6:$M$119,AP101,0),13,FALSE)),"","/"&amp;VLOOKUP($N101,OFFSET(選手情報!$A$6:$M$119,AP101,0),13,FALSE)),"")</f>
        <v/>
      </c>
      <c r="AR101" s="127" t="str">
        <f ca="1">IF(AP101&lt;&gt;"",IF(ISNA(VLOOKUP($N101,OFFSET(選手情報!$A$6:$BD$119,AP101,0),56,FALSE)),"",VLOOKUP($N101,OFFSET(選手情報!$A$6:$BD$119,AP101,0),56,FALSE)),"")</f>
        <v/>
      </c>
      <c r="AS101" s="127" t="str">
        <f ca="1">IF(AR101&lt;&gt;"",IF(ISNA(VLOOKUP($N101,OFFSET(選手情報!$A$6:$M$119,AR101,0),13,FALSE)),"","/"&amp;VLOOKUP($N101,OFFSET(選手情報!$A$6:$M$119,AR101,0),13,FALSE)),"")</f>
        <v/>
      </c>
      <c r="AT101" s="127" t="str">
        <f ca="1">IF(AR101&lt;&gt;"",IF(ISNA(VLOOKUP($N101,OFFSET(選手情報!$A$6:$BD$119,AR101,0),56,FALSE)),"",VLOOKUP($N101,OFFSET(選手情報!$A$6:$BD$119,AR101,0),56,FALSE)),"")</f>
        <v/>
      </c>
      <c r="AU101" s="127" t="str">
        <f ca="1">IF(AT101&lt;&gt;"",IF(ISNA(VLOOKUP($N101,OFFSET(選手情報!$A$6:$M$119,AT101,0),13,FALSE)),"","/"&amp;VLOOKUP($N101,OFFSET(選手情報!$A$6:$M$119,AT101,0),13,FALSE)),"")</f>
        <v/>
      </c>
      <c r="AV101" s="127" t="str">
        <f ca="1">IF(AT101&lt;&gt;"",IF(ISNA(VLOOKUP($N101,OFFSET(選手情報!$A$6:$BD$119,AT101,0),56,FALSE)),"",VLOOKUP($N101,OFFSET(選手情報!$A$6:$BD$119,AT101,0),56,FALSE)),"")</f>
        <v/>
      </c>
      <c r="AW101" s="127" t="str">
        <f ca="1">IF(AV101&lt;&gt;"",IF(ISNA(VLOOKUP($N101,OFFSET(選手情報!$A$6:$M$119,AV101,0),13,FALSE)),"","/"&amp;VLOOKUP($N101,OFFSET(選手情報!$A$6:$M$119,AV101,0),13,FALSE)),"")</f>
        <v/>
      </c>
      <c r="AX101" s="127" t="str">
        <f ca="1">IF(AV101&lt;&gt;"",IF(ISNA(VLOOKUP($N101,OFFSET(選手情報!$A$6:$BD$119,AV101,0),56,FALSE)),"",VLOOKUP($N101,OFFSET(選手情報!$A$6:$BD$119,AV101,0),56,FALSE)),"")</f>
        <v/>
      </c>
      <c r="AY101" s="127" t="str">
        <f ca="1">IF(AX101&lt;&gt;"",IF(ISNA(VLOOKUP($N101,OFFSET(選手情報!$A$6:$M$119,AX101,0),13,FALSE)),"","/"&amp;VLOOKUP($N101,OFFSET(選手情報!$A$6:$M$119,AX101,0),13,FALSE)),"")</f>
        <v/>
      </c>
      <c r="AZ101" s="127" t="str">
        <f ca="1">IF(AX101&lt;&gt;"",IF(ISNA(VLOOKUP($N101,OFFSET(選手情報!$A$6:$BD$119,AX101,0),56,FALSE)),"",VLOOKUP($N101,OFFSET(選手情報!$A$6:$BD$119,AX101,0),56,FALSE)),"")</f>
        <v/>
      </c>
      <c r="BA101" s="127" t="str">
        <f ca="1">IF(AZ101&lt;&gt;"",IF(ISNA(VLOOKUP($N101,OFFSET(選手情報!$A$6:$M$119,AZ101,0),13,FALSE)),"","/"&amp;VLOOKUP($N101,OFFSET(選手情報!$A$6:$M$119,AZ101,0),13,FALSE)),"")</f>
        <v/>
      </c>
      <c r="BB101" s="127" t="str">
        <f ca="1">IF(AZ101&lt;&gt;"",IF(ISNA(VLOOKUP($N101,OFFSET(選手情報!$A$6:$BD$119,AZ101,0),56,FALSE)),"",VLOOKUP($N101,OFFSET(選手情報!$A$6:$BD$119,AZ101,0),56,FALSE)),"")</f>
        <v/>
      </c>
      <c r="BC101" s="127" t="str">
        <f ca="1">IF(BB101&lt;&gt;"",IF(ISNA(VLOOKUP($N101,OFFSET(選手情報!$A$6:$M$119,BB101,0),13,FALSE)),"","/"&amp;VLOOKUP($N101,OFFSET(選手情報!$A$6:$M$119,BB101,0),13,FALSE)),"")</f>
        <v/>
      </c>
      <c r="BD101" s="127" t="str">
        <f ca="1">IF(BB101&lt;&gt;"",IF(ISNA(VLOOKUP($N101,OFFSET(選手情報!$A$6:$BD$119,BB101,0),56,FALSE)),"",VLOOKUP($N101,OFFSET(選手情報!$A$6:$BD$119,BB101,0),56,FALSE)),"")</f>
        <v/>
      </c>
      <c r="BE101" s="127" t="str">
        <f ca="1">IF(BD101&lt;&gt;"",IF(ISNA(VLOOKUP($N101,OFFSET(選手情報!$A$6:$M$119,BD101,0),13,FALSE)),"","/"&amp;VLOOKUP($N101,OFFSET(選手情報!$A$6:$M$119,BD101,0),13,FALSE)),"")</f>
        <v/>
      </c>
      <c r="BF101" s="127" t="str">
        <f ca="1">IF(BD101&lt;&gt;"",IF(ISNA(VLOOKUP($N101,OFFSET(選手情報!$A$6:$BD$119,BD101,0),56,FALSE)),"",VLOOKUP($N101,OFFSET(選手情報!$A$6:$BD$119,BD101,0),56,FALSE)),"")</f>
        <v/>
      </c>
      <c r="BG101" s="127" t="str">
        <f ca="1">IF(BF101&lt;&gt;"",IF(ISNA(VLOOKUP($N101,OFFSET(選手情報!$A$6:$M$119,BF101,0),13,FALSE)),"","/"&amp;VLOOKUP($N101,OFFSET(選手情報!$A$6:$M$119,BF101,0),13,FALSE)),"")</f>
        <v/>
      </c>
      <c r="BH101" s="127" t="str">
        <f ca="1">IF(BF101&lt;&gt;"",IF(ISNA(VLOOKUP($N101,OFFSET(選手情報!$A$6:$BD$119,BF101,0),56,FALSE)),"",VLOOKUP($N101,OFFSET(選手情報!$A$6:$BD$119,BF101,0),56,FALSE)),"")</f>
        <v/>
      </c>
      <c r="BI101" s="127" t="str">
        <f ca="1">IF(BH101&lt;&gt;"",IF(ISNA(VLOOKUP($N101,OFFSET(選手情報!$A$6:$M$119,BH101,0),13,FALSE)),"","/"&amp;VLOOKUP($N101,OFFSET(選手情報!$A$6:$M$119,BH101,0),13,FALSE)),"")</f>
        <v/>
      </c>
    </row>
    <row r="102" spans="1:62" s="127" customFormat="1" ht="12.6" customHeight="1">
      <c r="A102" s="128" t="str">
        <f>IF(ISNA(VLOOKUP($C$2&amp;N102,選手データ!A:H,3,FALSE)),"",IF(M102&lt;&gt;M88,VLOOKUP($C$2&amp;N102,選手データ!A:H,3,FALSE),""))</f>
        <v/>
      </c>
      <c r="B102" s="129" t="str">
        <f>IF(A102&lt;&gt;"",VLOOKUP($C$2&amp;N102,選手データ!A:H,4,FALSE),"")</f>
        <v/>
      </c>
      <c r="C102" s="129" t="str">
        <f>IF(A102&lt;&gt;"",VLOOKUP($C$2&amp;N102,選手データ!A:H,5,FALSE),"")</f>
        <v/>
      </c>
      <c r="D102" s="129" t="str">
        <f>IF(A102&lt;&gt;"",VLOOKUP($C$2&amp;N102,選手データ!A:H,6,FALSE),"")</f>
        <v/>
      </c>
      <c r="E102" s="129" t="str">
        <f>IF(A102&lt;&gt;"",VLOOKUP($C$2&amp;N102,選手データ!A:H,7,FALSE),"")</f>
        <v/>
      </c>
      <c r="F102" s="130" t="str">
        <f>IF(A102&lt;&gt;"",VLOOKUP($C$2&amp;N102,選手データ!A:H,8,FALSE),"")</f>
        <v/>
      </c>
      <c r="G102" s="130" t="str">
        <f>IF(F102&lt;&gt;"",IF(DATEDIF(F102,設定!$B$12,"Y")&lt;20,"〇",""),"")</f>
        <v/>
      </c>
      <c r="H102" s="131" t="str">
        <f t="shared" ca="1" si="7"/>
        <v/>
      </c>
      <c r="I102" s="132" t="str">
        <f t="shared" ca="1" si="8"/>
        <v/>
      </c>
      <c r="J102" s="131" t="str">
        <f t="shared" ca="1" si="9"/>
        <v/>
      </c>
      <c r="K102" s="130" t="str">
        <f>IF(A102&lt;&gt;"",IF(COUNTIF(リレーチーム情報!$B$5:$B$10,A102&amp;E102)=1,"〇",""),"")</f>
        <v/>
      </c>
      <c r="L102" s="133" t="str">
        <f>IF(A102&lt;&gt;"",IF(COUNTIF(リレーチーム情報!$B$11:$B$16,A102&amp;E102)=1,"〇",""),"")</f>
        <v/>
      </c>
      <c r="M102" s="127">
        <f>IF(学校情報!$A$4&lt;&gt;"",0,IF(S101=0,MAX($M$37:M101)+1,M101))</f>
        <v>0</v>
      </c>
      <c r="N102" s="127" t="str">
        <f>IF(M102&lt;&gt;0,VLOOKUP(M102,選手情報!BF:BG,2,FALSE),"")</f>
        <v/>
      </c>
      <c r="O102" s="127" t="str">
        <f ca="1">IF(M102&lt;&gt;0,VLOOKUP(N102,OFFSET(選手情報!$A$6:$W$119,IF(M102&lt;&gt;M101,0,R101),0),13,FALSE),"")</f>
        <v/>
      </c>
      <c r="P102" s="127" t="str">
        <f ca="1">IF(M102&lt;&gt;0,VLOOKUP(N102,OFFSET(選手情報!$A$6:$W$119,IF(M102&lt;&gt;M101,0,R101),0),16,FALSE),"")</f>
        <v/>
      </c>
      <c r="Q102" s="127" t="str">
        <f ca="1">IF(M102&lt;&gt;0,VLOOKUP(N102,OFFSET(選手情報!$A$6:$W$119,IF(M102&lt;&gt;M101,0,R101),0),21,FALSE),"")</f>
        <v/>
      </c>
      <c r="R102" s="127">
        <f ca="1">IF(M102&lt;&gt;0,VLOOKUP(N102,OFFSET(選手情報!$A$6:$BD$119,IF(M102&lt;&gt;M101,0,R101),0),56,FALSE),0)</f>
        <v>0</v>
      </c>
      <c r="S102" s="127">
        <f ca="1">IF(M102&lt;&gt;0,IF(ISNA(R102),0,COUNTIF(OFFSET(選手情報!$A$6:$A$119,R102,0),N102)),0)</f>
        <v>0</v>
      </c>
      <c r="U102" s="127">
        <f t="shared" si="11"/>
        <v>0</v>
      </c>
      <c r="V102" s="127">
        <f ca="1">IF(ISNA(O102),0,1)</f>
        <v>1</v>
      </c>
      <c r="W102" s="127">
        <f ca="1">IF(ISNA(N102),0,IF(AND(N102&lt;&gt;"",ISNA(O102)),1,0))</f>
        <v>0</v>
      </c>
      <c r="X102" s="127" t="str">
        <f ca="1">Y102&amp;AA102&amp;AC102&amp;AE102&amp;AG102&amp;AI102&amp;AK102&amp;AM102&amp;AO102&amp;AQ102&amp;AS102&amp;AU102&amp;AW102&amp;AY102&amp;BA102&amp;BC102&amp;BE102&amp;BG102&amp;BI102</f>
        <v/>
      </c>
      <c r="Y102" s="127" t="str">
        <f>IF($A102&lt;&gt;"",IF(ISNA(VLOOKUP($N102,選手情報!$A$6:$M$119,13,FALSE)),"","/"&amp;VLOOKUP($N102,選手情報!$A$6:$M$119,13,FALSE)),"")</f>
        <v/>
      </c>
      <c r="Z102" s="127" t="str">
        <f ca="1">IF(Y102&lt;&gt;"",IF(ISNA(VLOOKUP($N102,OFFSET(選手情報!$A$6:$BD$119,0,0),56,FALSE)),"",VLOOKUP($N102,OFFSET(選手情報!$A$6:$BD$119,0,0),56,FALSE)),"")</f>
        <v/>
      </c>
      <c r="AA102" s="127" t="str">
        <f ca="1">IF(Z102&lt;&gt;"",IF(ISNA(VLOOKUP($N102,OFFSET(選手情報!$A$6:$M$119,Z102,0),13,FALSE)),"","/"&amp;VLOOKUP($N102,OFFSET(選手情報!$A$6:$M$119,Z102,0),13,FALSE)),"")</f>
        <v/>
      </c>
      <c r="AB102" s="127" t="str">
        <f ca="1">IF(Z102&lt;&gt;"",IF(ISNA(VLOOKUP($N102,OFFSET(選手情報!$A$6:$BD$119,Z102,0),56,FALSE)),"",VLOOKUP($N102,OFFSET(選手情報!$A$6:$BD$119,Z102,0),56,FALSE)),"")</f>
        <v/>
      </c>
      <c r="AC102" s="127" t="str">
        <f ca="1">IF(AB102&lt;&gt;"",IF(ISNA(VLOOKUP($N102,OFFSET(選手情報!$A$6:$M$119,AB102,0),13,FALSE)),"","/"&amp;VLOOKUP($N102,OFFSET(選手情報!$A$6:$M$119,AB102,0),13,FALSE)),"")</f>
        <v/>
      </c>
      <c r="AD102" s="127" t="str">
        <f ca="1">IF(AB102&lt;&gt;"",IF(ISNA(VLOOKUP($N102,OFFSET(選手情報!$A$6:$BD$119,AB102,0),56,FALSE)),"",VLOOKUP($N102,OFFSET(選手情報!$A$6:$BD$119,AB102,0),56,FALSE)),"")</f>
        <v/>
      </c>
      <c r="AE102" s="127" t="str">
        <f ca="1">IF(AD102&lt;&gt;"",IF(ISNA(VLOOKUP($N102,OFFSET(選手情報!$A$6:$M$119,AD102,0),13,FALSE)),"","/"&amp;VLOOKUP($N102,OFFSET(選手情報!$A$6:$M$119,AD102,0),13,FALSE)),"")</f>
        <v/>
      </c>
      <c r="AF102" s="127" t="str">
        <f ca="1">IF(AD102&lt;&gt;"",IF(ISNA(VLOOKUP($N102,OFFSET(選手情報!$A$6:$BD$119,AD102,0),56,FALSE)),"",VLOOKUP($N102,OFFSET(選手情報!$A$6:$BD$119,AD102,0),56,FALSE)),"")</f>
        <v/>
      </c>
      <c r="AG102" s="127" t="str">
        <f ca="1">IF(AF102&lt;&gt;"",IF(ISNA(VLOOKUP($N102,OFFSET(選手情報!$A$6:$M$119,AF102,0),13,FALSE)),"","/"&amp;VLOOKUP($N102,OFFSET(選手情報!$A$6:$M$119,AF102,0),13,FALSE)),"")</f>
        <v/>
      </c>
      <c r="AH102" s="127" t="str">
        <f ca="1">IF(AF102&lt;&gt;"",IF(ISNA(VLOOKUP($N102,OFFSET(選手情報!$A$6:$BD$119,AF102,0),56,FALSE)),"",VLOOKUP($N102,OFFSET(選手情報!$A$6:$BD$119,AF102,0),56,FALSE)),"")</f>
        <v/>
      </c>
      <c r="AI102" s="127" t="str">
        <f ca="1">IF(AH102&lt;&gt;"",IF(ISNA(VLOOKUP($N102,OFFSET(選手情報!$A$6:$M$119,AH102,0),13,FALSE)),"","/"&amp;VLOOKUP($N102,OFFSET(選手情報!$A$6:$M$119,AH102,0),13,FALSE)),"")</f>
        <v/>
      </c>
      <c r="AJ102" s="127" t="str">
        <f ca="1">IF(AH102&lt;&gt;"",IF(ISNA(VLOOKUP($N102,OFFSET(選手情報!$A$6:$BD$119,AH102,0),56,FALSE)),"",VLOOKUP($N102,OFFSET(選手情報!$A$6:$BD$119,AH102,0),56,FALSE)),"")</f>
        <v/>
      </c>
      <c r="AK102" s="127" t="str">
        <f ca="1">IF(AJ102&lt;&gt;"",IF(ISNA(VLOOKUP($N102,OFFSET(選手情報!$A$6:$M$119,AJ102,0),13,FALSE)),"","/"&amp;VLOOKUP($N102,OFFSET(選手情報!$A$6:$M$119,AJ102,0),13,FALSE)),"")</f>
        <v/>
      </c>
      <c r="AL102" s="127" t="str">
        <f ca="1">IF(AJ102&lt;&gt;"",IF(ISNA(VLOOKUP($N102,OFFSET(選手情報!$A$6:$BD$119,AJ102,0),56,FALSE)),"",VLOOKUP($N102,OFFSET(選手情報!$A$6:$BD$119,AJ102,0),56,FALSE)),"")</f>
        <v/>
      </c>
      <c r="AM102" s="127" t="str">
        <f ca="1">IF(AL102&lt;&gt;"",IF(ISNA(VLOOKUP($N102,OFFSET(選手情報!$A$6:$M$119,AL102,0),13,FALSE)),"","/"&amp;VLOOKUP($N102,OFFSET(選手情報!$A$6:$M$119,AL102,0),13,FALSE)),"")</f>
        <v/>
      </c>
      <c r="AN102" s="127" t="str">
        <f ca="1">IF(AL102&lt;&gt;"",IF(ISNA(VLOOKUP($N102,OFFSET(選手情報!$A$6:$BD$119,AL102,0),56,FALSE)),"",VLOOKUP($N102,OFFSET(選手情報!$A$6:$BD$119,AL102,0),56,FALSE)),"")</f>
        <v/>
      </c>
      <c r="AO102" s="127" t="str">
        <f ca="1">IF(AN102&lt;&gt;"",IF(ISNA(VLOOKUP($N102,OFFSET(選手情報!$A$6:$M$119,AN102,0),13,FALSE)),"","/"&amp;VLOOKUP($N102,OFFSET(選手情報!$A$6:$M$119,AN102,0),13,FALSE)),"")</f>
        <v/>
      </c>
      <c r="AP102" s="127" t="str">
        <f ca="1">IF(AN102&lt;&gt;"",IF(ISNA(VLOOKUP($N102,OFFSET(選手情報!$A$6:$BD$119,AN102,0),56,FALSE)),"",VLOOKUP($N102,OFFSET(選手情報!$A$6:$BD$119,AN102,0),56,FALSE)),"")</f>
        <v/>
      </c>
      <c r="AQ102" s="127" t="str">
        <f ca="1">IF(AP102&lt;&gt;"",IF(ISNA(VLOOKUP($N102,OFFSET(選手情報!$A$6:$M$119,AP102,0),13,FALSE)),"","/"&amp;VLOOKUP($N102,OFFSET(選手情報!$A$6:$M$119,AP102,0),13,FALSE)),"")</f>
        <v/>
      </c>
      <c r="AR102" s="127" t="str">
        <f ca="1">IF(AP102&lt;&gt;"",IF(ISNA(VLOOKUP($N102,OFFSET(選手情報!$A$6:$BD$119,AP102,0),56,FALSE)),"",VLOOKUP($N102,OFFSET(選手情報!$A$6:$BD$119,AP102,0),56,FALSE)),"")</f>
        <v/>
      </c>
      <c r="AS102" s="127" t="str">
        <f ca="1">IF(AR102&lt;&gt;"",IF(ISNA(VLOOKUP($N102,OFFSET(選手情報!$A$6:$M$119,AR102,0),13,FALSE)),"","/"&amp;VLOOKUP($N102,OFFSET(選手情報!$A$6:$M$119,AR102,0),13,FALSE)),"")</f>
        <v/>
      </c>
      <c r="AT102" s="127" t="str">
        <f ca="1">IF(AR102&lt;&gt;"",IF(ISNA(VLOOKUP($N102,OFFSET(選手情報!$A$6:$BD$119,AR102,0),56,FALSE)),"",VLOOKUP($N102,OFFSET(選手情報!$A$6:$BD$119,AR102,0),56,FALSE)),"")</f>
        <v/>
      </c>
      <c r="AU102" s="127" t="str">
        <f ca="1">IF(AT102&lt;&gt;"",IF(ISNA(VLOOKUP($N102,OFFSET(選手情報!$A$6:$M$119,AT102,0),13,FALSE)),"","/"&amp;VLOOKUP($N102,OFFSET(選手情報!$A$6:$M$119,AT102,0),13,FALSE)),"")</f>
        <v/>
      </c>
      <c r="AV102" s="127" t="str">
        <f ca="1">IF(AT102&lt;&gt;"",IF(ISNA(VLOOKUP($N102,OFFSET(選手情報!$A$6:$BD$119,AT102,0),56,FALSE)),"",VLOOKUP($N102,OFFSET(選手情報!$A$6:$BD$119,AT102,0),56,FALSE)),"")</f>
        <v/>
      </c>
      <c r="AW102" s="127" t="str">
        <f ca="1">IF(AV102&lt;&gt;"",IF(ISNA(VLOOKUP($N102,OFFSET(選手情報!$A$6:$M$119,AV102,0),13,FALSE)),"","/"&amp;VLOOKUP($N102,OFFSET(選手情報!$A$6:$M$119,AV102,0),13,FALSE)),"")</f>
        <v/>
      </c>
      <c r="AX102" s="127" t="str">
        <f ca="1">IF(AV102&lt;&gt;"",IF(ISNA(VLOOKUP($N102,OFFSET(選手情報!$A$6:$BD$119,AV102,0),56,FALSE)),"",VLOOKUP($N102,OFFSET(選手情報!$A$6:$BD$119,AV102,0),56,FALSE)),"")</f>
        <v/>
      </c>
      <c r="AY102" s="127" t="str">
        <f ca="1">IF(AX102&lt;&gt;"",IF(ISNA(VLOOKUP($N102,OFFSET(選手情報!$A$6:$M$119,AX102,0),13,FALSE)),"","/"&amp;VLOOKUP($N102,OFFSET(選手情報!$A$6:$M$119,AX102,0),13,FALSE)),"")</f>
        <v/>
      </c>
      <c r="AZ102" s="127" t="str">
        <f ca="1">IF(AX102&lt;&gt;"",IF(ISNA(VLOOKUP($N102,OFFSET(選手情報!$A$6:$BD$119,AX102,0),56,FALSE)),"",VLOOKUP($N102,OFFSET(選手情報!$A$6:$BD$119,AX102,0),56,FALSE)),"")</f>
        <v/>
      </c>
      <c r="BA102" s="127" t="str">
        <f ca="1">IF(AZ102&lt;&gt;"",IF(ISNA(VLOOKUP($N102,OFFSET(選手情報!$A$6:$M$119,AZ102,0),13,FALSE)),"","/"&amp;VLOOKUP($N102,OFFSET(選手情報!$A$6:$M$119,AZ102,0),13,FALSE)),"")</f>
        <v/>
      </c>
      <c r="BB102" s="127" t="str">
        <f ca="1">IF(AZ102&lt;&gt;"",IF(ISNA(VLOOKUP($N102,OFFSET(選手情報!$A$6:$BD$119,AZ102,0),56,FALSE)),"",VLOOKUP($N102,OFFSET(選手情報!$A$6:$BD$119,AZ102,0),56,FALSE)),"")</f>
        <v/>
      </c>
      <c r="BC102" s="127" t="str">
        <f ca="1">IF(BB102&lt;&gt;"",IF(ISNA(VLOOKUP($N102,OFFSET(選手情報!$A$6:$M$119,BB102,0),13,FALSE)),"","/"&amp;VLOOKUP($N102,OFFSET(選手情報!$A$6:$M$119,BB102,0),13,FALSE)),"")</f>
        <v/>
      </c>
      <c r="BD102" s="127" t="str">
        <f ca="1">IF(BB102&lt;&gt;"",IF(ISNA(VLOOKUP($N102,OFFSET(選手情報!$A$6:$BD$119,BB102,0),56,FALSE)),"",VLOOKUP($N102,OFFSET(選手情報!$A$6:$BD$119,BB102,0),56,FALSE)),"")</f>
        <v/>
      </c>
      <c r="BE102" s="127" t="str">
        <f ca="1">IF(BD102&lt;&gt;"",IF(ISNA(VLOOKUP($N102,OFFSET(選手情報!$A$6:$M$119,BD102,0),13,FALSE)),"","/"&amp;VLOOKUP($N102,OFFSET(選手情報!$A$6:$M$119,BD102,0),13,FALSE)),"")</f>
        <v/>
      </c>
      <c r="BF102" s="127" t="str">
        <f ca="1">IF(BD102&lt;&gt;"",IF(ISNA(VLOOKUP($N102,OFFSET(選手情報!$A$6:$BD$119,BD102,0),56,FALSE)),"",VLOOKUP($N102,OFFSET(選手情報!$A$6:$BD$119,BD102,0),56,FALSE)),"")</f>
        <v/>
      </c>
      <c r="BG102" s="127" t="str">
        <f ca="1">IF(BF102&lt;&gt;"",IF(ISNA(VLOOKUP($N102,OFFSET(選手情報!$A$6:$M$119,BF102,0),13,FALSE)),"","/"&amp;VLOOKUP($N102,OFFSET(選手情報!$A$6:$M$119,BF102,0),13,FALSE)),"")</f>
        <v/>
      </c>
      <c r="BH102" s="127" t="str">
        <f ca="1">IF(BF102&lt;&gt;"",IF(ISNA(VLOOKUP($N102,OFFSET(選手情報!$A$6:$BD$119,BF102,0),56,FALSE)),"",VLOOKUP($N102,OFFSET(選手情報!$A$6:$BD$119,BF102,0),56,FALSE)),"")</f>
        <v/>
      </c>
      <c r="BI102" s="127" t="str">
        <f ca="1">IF(BH102&lt;&gt;"",IF(ISNA(VLOOKUP($N102,OFFSET(選手情報!$A$6:$M$119,BH102,0),13,FALSE)),"","/"&amp;VLOOKUP($N102,OFFSET(選手情報!$A$6:$M$119,BH102,0),13,FALSE)),"")</f>
        <v/>
      </c>
    </row>
    <row r="103" spans="1:62" s="127" customFormat="1" ht="12.6" customHeight="1">
      <c r="A103" s="128" t="str">
        <f>IF(ISNA(VLOOKUP($C$2&amp;N103,選手データ!A:H,3,FALSE)),"",IF(M103&lt;&gt;M89,VLOOKUP($C$2&amp;N103,選手データ!A:H,3,FALSE),""))</f>
        <v/>
      </c>
      <c r="B103" s="129" t="str">
        <f>IF(A103&lt;&gt;"",VLOOKUP($C$2&amp;N103,選手データ!A:H,4,FALSE),"")</f>
        <v/>
      </c>
      <c r="C103" s="129" t="str">
        <f>IF(A103&lt;&gt;"",VLOOKUP($C$2&amp;N103,選手データ!A:H,5,FALSE),"")</f>
        <v/>
      </c>
      <c r="D103" s="129" t="str">
        <f>IF(A103&lt;&gt;"",VLOOKUP($C$2&amp;N103,選手データ!A:H,6,FALSE),"")</f>
        <v/>
      </c>
      <c r="E103" s="129" t="str">
        <f>IF(A103&lt;&gt;"",VLOOKUP($C$2&amp;N103,選手データ!A:H,7,FALSE),"")</f>
        <v/>
      </c>
      <c r="F103" s="130" t="str">
        <f>IF(A103&lt;&gt;"",VLOOKUP($C$2&amp;N103,選手データ!A:H,8,FALSE),"")</f>
        <v/>
      </c>
      <c r="G103" s="130" t="str">
        <f>IF(F103&lt;&gt;"",IF(DATEDIF(F103,設定!$B$12,"Y")&lt;20,"〇",""),"")</f>
        <v/>
      </c>
      <c r="H103" s="131" t="str">
        <f t="shared" ca="1" si="7"/>
        <v/>
      </c>
      <c r="I103" s="132" t="str">
        <f t="shared" ca="1" si="8"/>
        <v/>
      </c>
      <c r="J103" s="131" t="str">
        <f t="shared" ca="1" si="9"/>
        <v/>
      </c>
      <c r="K103" s="130" t="str">
        <f>IF(A103&lt;&gt;"",IF(COUNTIF(リレーチーム情報!$B$5:$B$10,A103&amp;E103)=1,"〇",""),"")</f>
        <v/>
      </c>
      <c r="L103" s="133" t="str">
        <f>IF(A103&lt;&gt;"",IF(COUNTIF(リレーチーム情報!$B$11:$B$16,A103&amp;E103)=1,"〇",""),"")</f>
        <v/>
      </c>
      <c r="M103" s="127">
        <f>IF(学校情報!$A$4&lt;&gt;"",0,IF(S102=0,MAX($M$37:M102)+1,M102))</f>
        <v>0</v>
      </c>
      <c r="N103" s="127" t="str">
        <f>IF(M103&lt;&gt;0,VLOOKUP(M103,選手情報!BF:BG,2,FALSE),"")</f>
        <v/>
      </c>
      <c r="O103" s="127" t="str">
        <f ca="1">IF(M103&lt;&gt;0,VLOOKUP(N103,OFFSET(選手情報!$A$6:$W$119,IF(M103&lt;&gt;M102,0,R102),0),13,FALSE),"")</f>
        <v/>
      </c>
      <c r="P103" s="127" t="str">
        <f ca="1">IF(M103&lt;&gt;0,VLOOKUP(N103,OFFSET(選手情報!$A$6:$W$119,IF(M103&lt;&gt;M102,0,R102),0),16,FALSE),"")</f>
        <v/>
      </c>
      <c r="Q103" s="127" t="str">
        <f ca="1">IF(M103&lt;&gt;0,VLOOKUP(N103,OFFSET(選手情報!$A$6:$W$119,IF(M103&lt;&gt;M102,0,R102),0),21,FALSE),"")</f>
        <v/>
      </c>
      <c r="R103" s="127">
        <f ca="1">IF(M103&lt;&gt;0,VLOOKUP(N103,OFFSET(選手情報!$A$6:$BD$119,IF(M103&lt;&gt;M102,0,R102),0),56,FALSE),0)</f>
        <v>0</v>
      </c>
      <c r="S103" s="127">
        <f ca="1">IF(M103&lt;&gt;0,IF(ISNA(R103),0,COUNTIF(OFFSET(選手情報!$A$6:$A$119,R103,0),N103)),0)</f>
        <v>0</v>
      </c>
      <c r="U103" s="127">
        <f t="shared" si="11"/>
        <v>0</v>
      </c>
      <c r="V103" s="127">
        <f ca="1">IF(ISNA(O103),0,1)</f>
        <v>1</v>
      </c>
      <c r="W103" s="127">
        <f ca="1">IF(ISNA(N103),0,IF(AND(N103&lt;&gt;"",ISNA(O103)),1,0))</f>
        <v>0</v>
      </c>
      <c r="X103" s="127" t="str">
        <f ca="1">Y103&amp;AA103&amp;AC103&amp;AE103&amp;AG103&amp;AI103&amp;AK103&amp;AM103&amp;AO103&amp;AQ103&amp;AS103&amp;AU103&amp;AW103&amp;AY103&amp;BA103&amp;BC103&amp;BE103&amp;BG103&amp;BI103</f>
        <v/>
      </c>
      <c r="Y103" s="127" t="str">
        <f>IF($A103&lt;&gt;"",IF(ISNA(VLOOKUP($N103,選手情報!$A$6:$M$119,13,FALSE)),"","/"&amp;VLOOKUP($N103,選手情報!$A$6:$M$119,13,FALSE)),"")</f>
        <v/>
      </c>
      <c r="Z103" s="127" t="str">
        <f ca="1">IF(Y103&lt;&gt;"",IF(ISNA(VLOOKUP($N103,OFFSET(選手情報!$A$6:$BD$119,0,0),56,FALSE)),"",VLOOKUP($N103,OFFSET(選手情報!$A$6:$BD$119,0,0),56,FALSE)),"")</f>
        <v/>
      </c>
      <c r="AA103" s="127" t="str">
        <f ca="1">IF(Z103&lt;&gt;"",IF(ISNA(VLOOKUP($N103,OFFSET(選手情報!$A$6:$M$119,Z103,0),13,FALSE)),"","/"&amp;VLOOKUP($N103,OFFSET(選手情報!$A$6:$M$119,Z103,0),13,FALSE)),"")</f>
        <v/>
      </c>
      <c r="AB103" s="127" t="str">
        <f ca="1">IF(Z103&lt;&gt;"",IF(ISNA(VLOOKUP($N103,OFFSET(選手情報!$A$6:$BD$119,Z103,0),56,FALSE)),"",VLOOKUP($N103,OFFSET(選手情報!$A$6:$BD$119,Z103,0),56,FALSE)),"")</f>
        <v/>
      </c>
      <c r="AC103" s="127" t="str">
        <f ca="1">IF(AB103&lt;&gt;"",IF(ISNA(VLOOKUP($N103,OFFSET(選手情報!$A$6:$M$119,AB103,0),13,FALSE)),"","/"&amp;VLOOKUP($N103,OFFSET(選手情報!$A$6:$M$119,AB103,0),13,FALSE)),"")</f>
        <v/>
      </c>
      <c r="AD103" s="127" t="str">
        <f ca="1">IF(AB103&lt;&gt;"",IF(ISNA(VLOOKUP($N103,OFFSET(選手情報!$A$6:$BD$119,AB103,0),56,FALSE)),"",VLOOKUP($N103,OFFSET(選手情報!$A$6:$BD$119,AB103,0),56,FALSE)),"")</f>
        <v/>
      </c>
      <c r="AE103" s="127" t="str">
        <f ca="1">IF(AD103&lt;&gt;"",IF(ISNA(VLOOKUP($N103,OFFSET(選手情報!$A$6:$M$119,AD103,0),13,FALSE)),"","/"&amp;VLOOKUP($N103,OFFSET(選手情報!$A$6:$M$119,AD103,0),13,FALSE)),"")</f>
        <v/>
      </c>
      <c r="AF103" s="127" t="str">
        <f ca="1">IF(AD103&lt;&gt;"",IF(ISNA(VLOOKUP($N103,OFFSET(選手情報!$A$6:$BD$119,AD103,0),56,FALSE)),"",VLOOKUP($N103,OFFSET(選手情報!$A$6:$BD$119,AD103,0),56,FALSE)),"")</f>
        <v/>
      </c>
      <c r="AG103" s="127" t="str">
        <f ca="1">IF(AF103&lt;&gt;"",IF(ISNA(VLOOKUP($N103,OFFSET(選手情報!$A$6:$M$119,AF103,0),13,FALSE)),"","/"&amp;VLOOKUP($N103,OFFSET(選手情報!$A$6:$M$119,AF103,0),13,FALSE)),"")</f>
        <v/>
      </c>
      <c r="AH103" s="127" t="str">
        <f ca="1">IF(AF103&lt;&gt;"",IF(ISNA(VLOOKUP($N103,OFFSET(選手情報!$A$6:$BD$119,AF103,0),56,FALSE)),"",VLOOKUP($N103,OFFSET(選手情報!$A$6:$BD$119,AF103,0),56,FALSE)),"")</f>
        <v/>
      </c>
      <c r="AI103" s="127" t="str">
        <f ca="1">IF(AH103&lt;&gt;"",IF(ISNA(VLOOKUP($N103,OFFSET(選手情報!$A$6:$M$119,AH103,0),13,FALSE)),"","/"&amp;VLOOKUP($N103,OFFSET(選手情報!$A$6:$M$119,AH103,0),13,FALSE)),"")</f>
        <v/>
      </c>
      <c r="AJ103" s="127" t="str">
        <f ca="1">IF(AH103&lt;&gt;"",IF(ISNA(VLOOKUP($N103,OFFSET(選手情報!$A$6:$BD$119,AH103,0),56,FALSE)),"",VLOOKUP($N103,OFFSET(選手情報!$A$6:$BD$119,AH103,0),56,FALSE)),"")</f>
        <v/>
      </c>
      <c r="AK103" s="127" t="str">
        <f ca="1">IF(AJ103&lt;&gt;"",IF(ISNA(VLOOKUP($N103,OFFSET(選手情報!$A$6:$M$119,AJ103,0),13,FALSE)),"","/"&amp;VLOOKUP($N103,OFFSET(選手情報!$A$6:$M$119,AJ103,0),13,FALSE)),"")</f>
        <v/>
      </c>
      <c r="AL103" s="127" t="str">
        <f ca="1">IF(AJ103&lt;&gt;"",IF(ISNA(VLOOKUP($N103,OFFSET(選手情報!$A$6:$BD$119,AJ103,0),56,FALSE)),"",VLOOKUP($N103,OFFSET(選手情報!$A$6:$BD$119,AJ103,0),56,FALSE)),"")</f>
        <v/>
      </c>
      <c r="AM103" s="127" t="str">
        <f ca="1">IF(AL103&lt;&gt;"",IF(ISNA(VLOOKUP($N103,OFFSET(選手情報!$A$6:$M$119,AL103,0),13,FALSE)),"","/"&amp;VLOOKUP($N103,OFFSET(選手情報!$A$6:$M$119,AL103,0),13,FALSE)),"")</f>
        <v/>
      </c>
      <c r="AN103" s="127" t="str">
        <f ca="1">IF(AL103&lt;&gt;"",IF(ISNA(VLOOKUP($N103,OFFSET(選手情報!$A$6:$BD$119,AL103,0),56,FALSE)),"",VLOOKUP($N103,OFFSET(選手情報!$A$6:$BD$119,AL103,0),56,FALSE)),"")</f>
        <v/>
      </c>
      <c r="AO103" s="127" t="str">
        <f ca="1">IF(AN103&lt;&gt;"",IF(ISNA(VLOOKUP($N103,OFFSET(選手情報!$A$6:$M$119,AN103,0),13,FALSE)),"","/"&amp;VLOOKUP($N103,OFFSET(選手情報!$A$6:$M$119,AN103,0),13,FALSE)),"")</f>
        <v/>
      </c>
      <c r="AP103" s="127" t="str">
        <f ca="1">IF(AN103&lt;&gt;"",IF(ISNA(VLOOKUP($N103,OFFSET(選手情報!$A$6:$BD$119,AN103,0),56,FALSE)),"",VLOOKUP($N103,OFFSET(選手情報!$A$6:$BD$119,AN103,0),56,FALSE)),"")</f>
        <v/>
      </c>
      <c r="AQ103" s="127" t="str">
        <f ca="1">IF(AP103&lt;&gt;"",IF(ISNA(VLOOKUP($N103,OFFSET(選手情報!$A$6:$M$119,AP103,0),13,FALSE)),"","/"&amp;VLOOKUP($N103,OFFSET(選手情報!$A$6:$M$119,AP103,0),13,FALSE)),"")</f>
        <v/>
      </c>
      <c r="AR103" s="127" t="str">
        <f ca="1">IF(AP103&lt;&gt;"",IF(ISNA(VLOOKUP($N103,OFFSET(選手情報!$A$6:$BD$119,AP103,0),56,FALSE)),"",VLOOKUP($N103,OFFSET(選手情報!$A$6:$BD$119,AP103,0),56,FALSE)),"")</f>
        <v/>
      </c>
      <c r="AS103" s="127" t="str">
        <f ca="1">IF(AR103&lt;&gt;"",IF(ISNA(VLOOKUP($N103,OFFSET(選手情報!$A$6:$M$119,AR103,0),13,FALSE)),"","/"&amp;VLOOKUP($N103,OFFSET(選手情報!$A$6:$M$119,AR103,0),13,FALSE)),"")</f>
        <v/>
      </c>
      <c r="AT103" s="127" t="str">
        <f ca="1">IF(AR103&lt;&gt;"",IF(ISNA(VLOOKUP($N103,OFFSET(選手情報!$A$6:$BD$119,AR103,0),56,FALSE)),"",VLOOKUP($N103,OFFSET(選手情報!$A$6:$BD$119,AR103,0),56,FALSE)),"")</f>
        <v/>
      </c>
      <c r="AU103" s="127" t="str">
        <f ca="1">IF(AT103&lt;&gt;"",IF(ISNA(VLOOKUP($N103,OFFSET(選手情報!$A$6:$M$119,AT103,0),13,FALSE)),"","/"&amp;VLOOKUP($N103,OFFSET(選手情報!$A$6:$M$119,AT103,0),13,FALSE)),"")</f>
        <v/>
      </c>
      <c r="AV103" s="127" t="str">
        <f ca="1">IF(AT103&lt;&gt;"",IF(ISNA(VLOOKUP($N103,OFFSET(選手情報!$A$6:$BD$119,AT103,0),56,FALSE)),"",VLOOKUP($N103,OFFSET(選手情報!$A$6:$BD$119,AT103,0),56,FALSE)),"")</f>
        <v/>
      </c>
      <c r="AW103" s="127" t="str">
        <f ca="1">IF(AV103&lt;&gt;"",IF(ISNA(VLOOKUP($N103,OFFSET(選手情報!$A$6:$M$119,AV103,0),13,FALSE)),"","/"&amp;VLOOKUP($N103,OFFSET(選手情報!$A$6:$M$119,AV103,0),13,FALSE)),"")</f>
        <v/>
      </c>
      <c r="AX103" s="127" t="str">
        <f ca="1">IF(AV103&lt;&gt;"",IF(ISNA(VLOOKUP($N103,OFFSET(選手情報!$A$6:$BD$119,AV103,0),56,FALSE)),"",VLOOKUP($N103,OFFSET(選手情報!$A$6:$BD$119,AV103,0),56,FALSE)),"")</f>
        <v/>
      </c>
      <c r="AY103" s="127" t="str">
        <f ca="1">IF(AX103&lt;&gt;"",IF(ISNA(VLOOKUP($N103,OFFSET(選手情報!$A$6:$M$119,AX103,0),13,FALSE)),"","/"&amp;VLOOKUP($N103,OFFSET(選手情報!$A$6:$M$119,AX103,0),13,FALSE)),"")</f>
        <v/>
      </c>
      <c r="AZ103" s="127" t="str">
        <f ca="1">IF(AX103&lt;&gt;"",IF(ISNA(VLOOKUP($N103,OFFSET(選手情報!$A$6:$BD$119,AX103,0),56,FALSE)),"",VLOOKUP($N103,OFFSET(選手情報!$A$6:$BD$119,AX103,0),56,FALSE)),"")</f>
        <v/>
      </c>
      <c r="BA103" s="127" t="str">
        <f ca="1">IF(AZ103&lt;&gt;"",IF(ISNA(VLOOKUP($N103,OFFSET(選手情報!$A$6:$M$119,AZ103,0),13,FALSE)),"","/"&amp;VLOOKUP($N103,OFFSET(選手情報!$A$6:$M$119,AZ103,0),13,FALSE)),"")</f>
        <v/>
      </c>
      <c r="BB103" s="127" t="str">
        <f ca="1">IF(AZ103&lt;&gt;"",IF(ISNA(VLOOKUP($N103,OFFSET(選手情報!$A$6:$BD$119,AZ103,0),56,FALSE)),"",VLOOKUP($N103,OFFSET(選手情報!$A$6:$BD$119,AZ103,0),56,FALSE)),"")</f>
        <v/>
      </c>
      <c r="BC103" s="127" t="str">
        <f ca="1">IF(BB103&lt;&gt;"",IF(ISNA(VLOOKUP($N103,OFFSET(選手情報!$A$6:$M$119,BB103,0),13,FALSE)),"","/"&amp;VLOOKUP($N103,OFFSET(選手情報!$A$6:$M$119,BB103,0),13,FALSE)),"")</f>
        <v/>
      </c>
      <c r="BD103" s="127" t="str">
        <f ca="1">IF(BB103&lt;&gt;"",IF(ISNA(VLOOKUP($N103,OFFSET(選手情報!$A$6:$BD$119,BB103,0),56,FALSE)),"",VLOOKUP($N103,OFFSET(選手情報!$A$6:$BD$119,BB103,0),56,FALSE)),"")</f>
        <v/>
      </c>
      <c r="BE103" s="127" t="str">
        <f ca="1">IF(BD103&lt;&gt;"",IF(ISNA(VLOOKUP($N103,OFFSET(選手情報!$A$6:$M$119,BD103,0),13,FALSE)),"","/"&amp;VLOOKUP($N103,OFFSET(選手情報!$A$6:$M$119,BD103,0),13,FALSE)),"")</f>
        <v/>
      </c>
      <c r="BF103" s="127" t="str">
        <f ca="1">IF(BD103&lt;&gt;"",IF(ISNA(VLOOKUP($N103,OFFSET(選手情報!$A$6:$BD$119,BD103,0),56,FALSE)),"",VLOOKUP($N103,OFFSET(選手情報!$A$6:$BD$119,BD103,0),56,FALSE)),"")</f>
        <v/>
      </c>
      <c r="BG103" s="127" t="str">
        <f ca="1">IF(BF103&lt;&gt;"",IF(ISNA(VLOOKUP($N103,OFFSET(選手情報!$A$6:$M$119,BF103,0),13,FALSE)),"","/"&amp;VLOOKUP($N103,OFFSET(選手情報!$A$6:$M$119,BF103,0),13,FALSE)),"")</f>
        <v/>
      </c>
      <c r="BH103" s="127" t="str">
        <f ca="1">IF(BF103&lt;&gt;"",IF(ISNA(VLOOKUP($N103,OFFSET(選手情報!$A$6:$BD$119,BF103,0),56,FALSE)),"",VLOOKUP($N103,OFFSET(選手情報!$A$6:$BD$119,BF103,0),56,FALSE)),"")</f>
        <v/>
      </c>
      <c r="BI103" s="127" t="str">
        <f ca="1">IF(BH103&lt;&gt;"",IF(ISNA(VLOOKUP($N103,OFFSET(選手情報!$A$6:$M$119,BH103,0),13,FALSE)),"","/"&amp;VLOOKUP($N103,OFFSET(選手情報!$A$6:$M$119,BH103,0),13,FALSE)),"")</f>
        <v/>
      </c>
    </row>
    <row r="104" spans="1:62" s="127" customFormat="1" ht="12.6" customHeight="1">
      <c r="A104" s="128" t="str">
        <f>IF(ISNA(VLOOKUP($C$2&amp;N104,選手データ!A:H,3,FALSE)),"",IF(M104&lt;&gt;M90,VLOOKUP($C$2&amp;N104,選手データ!A:H,3,FALSE),""))</f>
        <v/>
      </c>
      <c r="B104" s="129" t="str">
        <f>IF(A104&lt;&gt;"",VLOOKUP($C$2&amp;N104,選手データ!A:H,4,FALSE),"")</f>
        <v/>
      </c>
      <c r="C104" s="129" t="str">
        <f>IF(A104&lt;&gt;"",VLOOKUP($C$2&amp;N104,選手データ!A:H,5,FALSE),"")</f>
        <v/>
      </c>
      <c r="D104" s="129" t="str">
        <f>IF(A104&lt;&gt;"",VLOOKUP($C$2&amp;N104,選手データ!A:H,6,FALSE),"")</f>
        <v/>
      </c>
      <c r="E104" s="129" t="str">
        <f>IF(A104&lt;&gt;"",VLOOKUP($C$2&amp;N104,選手データ!A:H,7,FALSE),"")</f>
        <v/>
      </c>
      <c r="F104" s="130" t="str">
        <f>IF(A104&lt;&gt;"",VLOOKUP($C$2&amp;N104,選手データ!A:H,8,FALSE),"")</f>
        <v/>
      </c>
      <c r="G104" s="130" t="str">
        <f>IF(F104&lt;&gt;"",IF(DATEDIF(F104,設定!$B$12,"Y")&lt;20,"〇",""),"")</f>
        <v/>
      </c>
      <c r="H104" s="131" t="str">
        <f t="shared" ca="1" si="7"/>
        <v/>
      </c>
      <c r="I104" s="132" t="str">
        <f t="shared" ca="1" si="8"/>
        <v/>
      </c>
      <c r="J104" s="131" t="str">
        <f t="shared" ca="1" si="9"/>
        <v/>
      </c>
      <c r="K104" s="130" t="str">
        <f>IF(A104&lt;&gt;"",IF(COUNTIF(リレーチーム情報!$B$5:$B$10,A104&amp;E104)=1,"〇",""),"")</f>
        <v/>
      </c>
      <c r="L104" s="133" t="str">
        <f>IF(A104&lt;&gt;"",IF(COUNTIF(リレーチーム情報!$B$11:$B$16,A104&amp;E104)=1,"〇",""),"")</f>
        <v/>
      </c>
      <c r="M104" s="127">
        <f>IF(学校情報!$A$4&lt;&gt;"",0,IF(S103=0,MAX($M$37:M103)+1,M103))</f>
        <v>0</v>
      </c>
      <c r="N104" s="127" t="str">
        <f>IF(M104&lt;&gt;0,VLOOKUP(M104,選手情報!BF:BG,2,FALSE),"")</f>
        <v/>
      </c>
      <c r="O104" s="127" t="str">
        <f ca="1">IF(M104&lt;&gt;0,VLOOKUP(N104,OFFSET(選手情報!$A$6:$W$119,IF(M104&lt;&gt;M103,0,R103),0),13,FALSE),"")</f>
        <v/>
      </c>
      <c r="P104" s="127" t="str">
        <f ca="1">IF(M104&lt;&gt;0,VLOOKUP(N104,OFFSET(選手情報!$A$6:$W$119,IF(M104&lt;&gt;M103,0,R103),0),16,FALSE),"")</f>
        <v/>
      </c>
      <c r="Q104" s="127" t="str">
        <f ca="1">IF(M104&lt;&gt;0,VLOOKUP(N104,OFFSET(選手情報!$A$6:$W$119,IF(M104&lt;&gt;M103,0,R103),0),21,FALSE),"")</f>
        <v/>
      </c>
      <c r="R104" s="127">
        <f ca="1">IF(M104&lt;&gt;0,VLOOKUP(N104,OFFSET(選手情報!$A$6:$BD$119,IF(M104&lt;&gt;M103,0,R103),0),56,FALSE),0)</f>
        <v>0</v>
      </c>
      <c r="S104" s="127">
        <f ca="1">IF(M104&lt;&gt;0,IF(ISNA(R104),0,COUNTIF(OFFSET(選手情報!$A$6:$A$119,R104,0),N104)),0)</f>
        <v>0</v>
      </c>
      <c r="U104" s="127">
        <f t="shared" si="11"/>
        <v>0</v>
      </c>
      <c r="V104" s="127">
        <f ca="1">IF(ISNA(O104),0,1)</f>
        <v>1</v>
      </c>
      <c r="W104" s="127">
        <f ca="1">IF(ISNA(N104),0,IF(AND(N104&lt;&gt;"",ISNA(O104)),1,0))</f>
        <v>0</v>
      </c>
      <c r="X104" s="127" t="str">
        <f ca="1">Y104&amp;AA104&amp;AC104&amp;AE104&amp;AG104&amp;AI104&amp;AK104&amp;AM104&amp;AO104&amp;AQ104&amp;AS104&amp;AU104&amp;AW104&amp;AY104&amp;BA104&amp;BC104&amp;BE104&amp;BG104&amp;BI104</f>
        <v/>
      </c>
      <c r="Y104" s="127" t="str">
        <f>IF($A104&lt;&gt;"",IF(ISNA(VLOOKUP($N104,選手情報!$A$6:$M$119,13,FALSE)),"","/"&amp;VLOOKUP($N104,選手情報!$A$6:$M$119,13,FALSE)),"")</f>
        <v/>
      </c>
      <c r="Z104" s="127" t="str">
        <f ca="1">IF(Y104&lt;&gt;"",IF(ISNA(VLOOKUP($N104,OFFSET(選手情報!$A$6:$BD$119,0,0),56,FALSE)),"",VLOOKUP($N104,OFFSET(選手情報!$A$6:$BD$119,0,0),56,FALSE)),"")</f>
        <v/>
      </c>
      <c r="AA104" s="127" t="str">
        <f ca="1">IF(Z104&lt;&gt;"",IF(ISNA(VLOOKUP($N104,OFFSET(選手情報!$A$6:$M$119,Z104,0),13,FALSE)),"","/"&amp;VLOOKUP($N104,OFFSET(選手情報!$A$6:$M$119,Z104,0),13,FALSE)),"")</f>
        <v/>
      </c>
      <c r="AB104" s="127" t="str">
        <f ca="1">IF(Z104&lt;&gt;"",IF(ISNA(VLOOKUP($N104,OFFSET(選手情報!$A$6:$BD$119,Z104,0),56,FALSE)),"",VLOOKUP($N104,OFFSET(選手情報!$A$6:$BD$119,Z104,0),56,FALSE)),"")</f>
        <v/>
      </c>
      <c r="AC104" s="127" t="str">
        <f ca="1">IF(AB104&lt;&gt;"",IF(ISNA(VLOOKUP($N104,OFFSET(選手情報!$A$6:$M$119,AB104,0),13,FALSE)),"","/"&amp;VLOOKUP($N104,OFFSET(選手情報!$A$6:$M$119,AB104,0),13,FALSE)),"")</f>
        <v/>
      </c>
      <c r="AD104" s="127" t="str">
        <f ca="1">IF(AB104&lt;&gt;"",IF(ISNA(VLOOKUP($N104,OFFSET(選手情報!$A$6:$BD$119,AB104,0),56,FALSE)),"",VLOOKUP($N104,OFFSET(選手情報!$A$6:$BD$119,AB104,0),56,FALSE)),"")</f>
        <v/>
      </c>
      <c r="AE104" s="127" t="str">
        <f ca="1">IF(AD104&lt;&gt;"",IF(ISNA(VLOOKUP($N104,OFFSET(選手情報!$A$6:$M$119,AD104,0),13,FALSE)),"","/"&amp;VLOOKUP($N104,OFFSET(選手情報!$A$6:$M$119,AD104,0),13,FALSE)),"")</f>
        <v/>
      </c>
      <c r="AF104" s="127" t="str">
        <f ca="1">IF(AD104&lt;&gt;"",IF(ISNA(VLOOKUP($N104,OFFSET(選手情報!$A$6:$BD$119,AD104,0),56,FALSE)),"",VLOOKUP($N104,OFFSET(選手情報!$A$6:$BD$119,AD104,0),56,FALSE)),"")</f>
        <v/>
      </c>
      <c r="AG104" s="127" t="str">
        <f ca="1">IF(AF104&lt;&gt;"",IF(ISNA(VLOOKUP($N104,OFFSET(選手情報!$A$6:$M$119,AF104,0),13,FALSE)),"","/"&amp;VLOOKUP($N104,OFFSET(選手情報!$A$6:$M$119,AF104,0),13,FALSE)),"")</f>
        <v/>
      </c>
      <c r="AH104" s="127" t="str">
        <f ca="1">IF(AF104&lt;&gt;"",IF(ISNA(VLOOKUP($N104,OFFSET(選手情報!$A$6:$BD$119,AF104,0),56,FALSE)),"",VLOOKUP($N104,OFFSET(選手情報!$A$6:$BD$119,AF104,0),56,FALSE)),"")</f>
        <v/>
      </c>
      <c r="AI104" s="127" t="str">
        <f ca="1">IF(AH104&lt;&gt;"",IF(ISNA(VLOOKUP($N104,OFFSET(選手情報!$A$6:$M$119,AH104,0),13,FALSE)),"","/"&amp;VLOOKUP($N104,OFFSET(選手情報!$A$6:$M$119,AH104,0),13,FALSE)),"")</f>
        <v/>
      </c>
      <c r="AJ104" s="127" t="str">
        <f ca="1">IF(AH104&lt;&gt;"",IF(ISNA(VLOOKUP($N104,OFFSET(選手情報!$A$6:$BD$119,AH104,0),56,FALSE)),"",VLOOKUP($N104,OFFSET(選手情報!$A$6:$BD$119,AH104,0),56,FALSE)),"")</f>
        <v/>
      </c>
      <c r="AK104" s="127" t="str">
        <f ca="1">IF(AJ104&lt;&gt;"",IF(ISNA(VLOOKUP($N104,OFFSET(選手情報!$A$6:$M$119,AJ104,0),13,FALSE)),"","/"&amp;VLOOKUP($N104,OFFSET(選手情報!$A$6:$M$119,AJ104,0),13,FALSE)),"")</f>
        <v/>
      </c>
      <c r="AL104" s="127" t="str">
        <f ca="1">IF(AJ104&lt;&gt;"",IF(ISNA(VLOOKUP($N104,OFFSET(選手情報!$A$6:$BD$119,AJ104,0),56,FALSE)),"",VLOOKUP($N104,OFFSET(選手情報!$A$6:$BD$119,AJ104,0),56,FALSE)),"")</f>
        <v/>
      </c>
      <c r="AM104" s="127" t="str">
        <f ca="1">IF(AL104&lt;&gt;"",IF(ISNA(VLOOKUP($N104,OFFSET(選手情報!$A$6:$M$119,AL104,0),13,FALSE)),"","/"&amp;VLOOKUP($N104,OFFSET(選手情報!$A$6:$M$119,AL104,0),13,FALSE)),"")</f>
        <v/>
      </c>
      <c r="AN104" s="127" t="str">
        <f ca="1">IF(AL104&lt;&gt;"",IF(ISNA(VLOOKUP($N104,OFFSET(選手情報!$A$6:$BD$119,AL104,0),56,FALSE)),"",VLOOKUP($N104,OFFSET(選手情報!$A$6:$BD$119,AL104,0),56,FALSE)),"")</f>
        <v/>
      </c>
      <c r="AO104" s="127" t="str">
        <f ca="1">IF(AN104&lt;&gt;"",IF(ISNA(VLOOKUP($N104,OFFSET(選手情報!$A$6:$M$119,AN104,0),13,FALSE)),"","/"&amp;VLOOKUP($N104,OFFSET(選手情報!$A$6:$M$119,AN104,0),13,FALSE)),"")</f>
        <v/>
      </c>
      <c r="AP104" s="127" t="str">
        <f ca="1">IF(AN104&lt;&gt;"",IF(ISNA(VLOOKUP($N104,OFFSET(選手情報!$A$6:$BD$119,AN104,0),56,FALSE)),"",VLOOKUP($N104,OFFSET(選手情報!$A$6:$BD$119,AN104,0),56,FALSE)),"")</f>
        <v/>
      </c>
      <c r="AQ104" s="127" t="str">
        <f ca="1">IF(AP104&lt;&gt;"",IF(ISNA(VLOOKUP($N104,OFFSET(選手情報!$A$6:$M$119,AP104,0),13,FALSE)),"","/"&amp;VLOOKUP($N104,OFFSET(選手情報!$A$6:$M$119,AP104,0),13,FALSE)),"")</f>
        <v/>
      </c>
      <c r="AR104" s="127" t="str">
        <f ca="1">IF(AP104&lt;&gt;"",IF(ISNA(VLOOKUP($N104,OFFSET(選手情報!$A$6:$BD$119,AP104,0),56,FALSE)),"",VLOOKUP($N104,OFFSET(選手情報!$A$6:$BD$119,AP104,0),56,FALSE)),"")</f>
        <v/>
      </c>
      <c r="AS104" s="127" t="str">
        <f ca="1">IF(AR104&lt;&gt;"",IF(ISNA(VLOOKUP($N104,OFFSET(選手情報!$A$6:$M$119,AR104,0),13,FALSE)),"","/"&amp;VLOOKUP($N104,OFFSET(選手情報!$A$6:$M$119,AR104,0),13,FALSE)),"")</f>
        <v/>
      </c>
      <c r="AT104" s="127" t="str">
        <f ca="1">IF(AR104&lt;&gt;"",IF(ISNA(VLOOKUP($N104,OFFSET(選手情報!$A$6:$BD$119,AR104,0),56,FALSE)),"",VLOOKUP($N104,OFFSET(選手情報!$A$6:$BD$119,AR104,0),56,FALSE)),"")</f>
        <v/>
      </c>
      <c r="AU104" s="127" t="str">
        <f ca="1">IF(AT104&lt;&gt;"",IF(ISNA(VLOOKUP($N104,OFFSET(選手情報!$A$6:$M$119,AT104,0),13,FALSE)),"","/"&amp;VLOOKUP($N104,OFFSET(選手情報!$A$6:$M$119,AT104,0),13,FALSE)),"")</f>
        <v/>
      </c>
      <c r="AV104" s="127" t="str">
        <f ca="1">IF(AT104&lt;&gt;"",IF(ISNA(VLOOKUP($N104,OFFSET(選手情報!$A$6:$BD$119,AT104,0),56,FALSE)),"",VLOOKUP($N104,OFFSET(選手情報!$A$6:$BD$119,AT104,0),56,FALSE)),"")</f>
        <v/>
      </c>
      <c r="AW104" s="127" t="str">
        <f ca="1">IF(AV104&lt;&gt;"",IF(ISNA(VLOOKUP($N104,OFFSET(選手情報!$A$6:$M$119,AV104,0),13,FALSE)),"","/"&amp;VLOOKUP($N104,OFFSET(選手情報!$A$6:$M$119,AV104,0),13,FALSE)),"")</f>
        <v/>
      </c>
      <c r="AX104" s="127" t="str">
        <f ca="1">IF(AV104&lt;&gt;"",IF(ISNA(VLOOKUP($N104,OFFSET(選手情報!$A$6:$BD$119,AV104,0),56,FALSE)),"",VLOOKUP($N104,OFFSET(選手情報!$A$6:$BD$119,AV104,0),56,FALSE)),"")</f>
        <v/>
      </c>
      <c r="AY104" s="127" t="str">
        <f ca="1">IF(AX104&lt;&gt;"",IF(ISNA(VLOOKUP($N104,OFFSET(選手情報!$A$6:$M$119,AX104,0),13,FALSE)),"","/"&amp;VLOOKUP($N104,OFFSET(選手情報!$A$6:$M$119,AX104,0),13,FALSE)),"")</f>
        <v/>
      </c>
      <c r="AZ104" s="127" t="str">
        <f ca="1">IF(AX104&lt;&gt;"",IF(ISNA(VLOOKUP($N104,OFFSET(選手情報!$A$6:$BD$119,AX104,0),56,FALSE)),"",VLOOKUP($N104,OFFSET(選手情報!$A$6:$BD$119,AX104,0),56,FALSE)),"")</f>
        <v/>
      </c>
      <c r="BA104" s="127" t="str">
        <f ca="1">IF(AZ104&lt;&gt;"",IF(ISNA(VLOOKUP($N104,OFFSET(選手情報!$A$6:$M$119,AZ104,0),13,FALSE)),"","/"&amp;VLOOKUP($N104,OFFSET(選手情報!$A$6:$M$119,AZ104,0),13,FALSE)),"")</f>
        <v/>
      </c>
      <c r="BB104" s="127" t="str">
        <f ca="1">IF(AZ104&lt;&gt;"",IF(ISNA(VLOOKUP($N104,OFFSET(選手情報!$A$6:$BD$119,AZ104,0),56,FALSE)),"",VLOOKUP($N104,OFFSET(選手情報!$A$6:$BD$119,AZ104,0),56,FALSE)),"")</f>
        <v/>
      </c>
      <c r="BC104" s="127" t="str">
        <f ca="1">IF(BB104&lt;&gt;"",IF(ISNA(VLOOKUP($N104,OFFSET(選手情報!$A$6:$M$119,BB104,0),13,FALSE)),"","/"&amp;VLOOKUP($N104,OFFSET(選手情報!$A$6:$M$119,BB104,0),13,FALSE)),"")</f>
        <v/>
      </c>
      <c r="BD104" s="127" t="str">
        <f ca="1">IF(BB104&lt;&gt;"",IF(ISNA(VLOOKUP($N104,OFFSET(選手情報!$A$6:$BD$119,BB104,0),56,FALSE)),"",VLOOKUP($N104,OFFSET(選手情報!$A$6:$BD$119,BB104,0),56,FALSE)),"")</f>
        <v/>
      </c>
      <c r="BE104" s="127" t="str">
        <f ca="1">IF(BD104&lt;&gt;"",IF(ISNA(VLOOKUP($N104,OFFSET(選手情報!$A$6:$M$119,BD104,0),13,FALSE)),"","/"&amp;VLOOKUP($N104,OFFSET(選手情報!$A$6:$M$119,BD104,0),13,FALSE)),"")</f>
        <v/>
      </c>
      <c r="BF104" s="127" t="str">
        <f ca="1">IF(BD104&lt;&gt;"",IF(ISNA(VLOOKUP($N104,OFFSET(選手情報!$A$6:$BD$119,BD104,0),56,FALSE)),"",VLOOKUP($N104,OFFSET(選手情報!$A$6:$BD$119,BD104,0),56,FALSE)),"")</f>
        <v/>
      </c>
      <c r="BG104" s="127" t="str">
        <f ca="1">IF(BF104&lt;&gt;"",IF(ISNA(VLOOKUP($N104,OFFSET(選手情報!$A$6:$M$119,BF104,0),13,FALSE)),"","/"&amp;VLOOKUP($N104,OFFSET(選手情報!$A$6:$M$119,BF104,0),13,FALSE)),"")</f>
        <v/>
      </c>
      <c r="BH104" s="127" t="str">
        <f ca="1">IF(BF104&lt;&gt;"",IF(ISNA(VLOOKUP($N104,OFFSET(選手情報!$A$6:$BD$119,BF104,0),56,FALSE)),"",VLOOKUP($N104,OFFSET(選手情報!$A$6:$BD$119,BF104,0),56,FALSE)),"")</f>
        <v/>
      </c>
      <c r="BI104" s="127" t="str">
        <f ca="1">IF(BH104&lt;&gt;"",IF(ISNA(VLOOKUP($N104,OFFSET(選手情報!$A$6:$M$119,BH104,0),13,FALSE)),"","/"&amp;VLOOKUP($N104,OFFSET(選手情報!$A$6:$M$119,BH104,0),13,FALSE)),"")</f>
        <v/>
      </c>
    </row>
    <row r="105" spans="1:62" s="127" customFormat="1" ht="12.6" customHeight="1" thickBot="1">
      <c r="A105" s="134" t="str">
        <f>IF(ISNA(VLOOKUP($C$2&amp;N105,選手データ!A:H,3,FALSE)),"",IF(M105&lt;&gt;M91,VLOOKUP($C$2&amp;N105,選手データ!A:H,3,FALSE),""))</f>
        <v/>
      </c>
      <c r="B105" s="135" t="str">
        <f>IF(A105&lt;&gt;"",VLOOKUP($C$2&amp;N105,選手データ!A:H,4,FALSE),"")</f>
        <v/>
      </c>
      <c r="C105" s="135" t="str">
        <f>IF(A105&lt;&gt;"",VLOOKUP($C$2&amp;N105,選手データ!A:H,5,FALSE),"")</f>
        <v/>
      </c>
      <c r="D105" s="135" t="str">
        <f>IF(A105&lt;&gt;"",VLOOKUP($C$2&amp;N105,選手データ!A:H,6,FALSE),"")</f>
        <v/>
      </c>
      <c r="E105" s="135" t="str">
        <f>IF(A105&lt;&gt;"",VLOOKUP($C$2&amp;N105,選手データ!A:H,7,FALSE),"")</f>
        <v/>
      </c>
      <c r="F105" s="136" t="str">
        <f>IF(A105&lt;&gt;"",VLOOKUP($C$2&amp;N105,選手データ!A:H,8,FALSE),"")</f>
        <v/>
      </c>
      <c r="G105" s="136" t="str">
        <f>IF(F105&lt;&gt;"",IF(DATEDIF(F105,設定!$B$12,"Y")&lt;20,"〇",""),"")</f>
        <v/>
      </c>
      <c r="H105" s="137" t="str">
        <f t="shared" ca="1" si="0"/>
        <v/>
      </c>
      <c r="I105" s="138" t="str">
        <f t="shared" ca="1" si="1"/>
        <v/>
      </c>
      <c r="J105" s="137" t="str">
        <f t="shared" ca="1" si="2"/>
        <v/>
      </c>
      <c r="K105" s="136" t="str">
        <f>IF(A105&lt;&gt;"",IF(COUNTIF(リレーチーム情報!$B$5:$B$10,A105&amp;E105)=1,"〇",""),"")</f>
        <v/>
      </c>
      <c r="L105" s="139" t="str">
        <f>IF(A105&lt;&gt;"",IF(COUNTIF(リレーチーム情報!$B$11:$B$16,A105&amp;E105)=1,"〇",""),"")</f>
        <v/>
      </c>
      <c r="M105" s="127">
        <f>IF(学校情報!$A$4&lt;&gt;"",0,IF(S104=0,MAX($M$37:M104)+1,M104))</f>
        <v>0</v>
      </c>
      <c r="N105" s="127" t="str">
        <f>IF(M105&lt;&gt;0,VLOOKUP(M105,選手情報!BF:BG,2,FALSE),"")</f>
        <v/>
      </c>
      <c r="O105" s="127" t="str">
        <f ca="1">IF(M105&lt;&gt;0,VLOOKUP(N105,OFFSET(選手情報!$A$6:$W$119,IF(M105&lt;&gt;M104,0,R104),0),13,FALSE),"")</f>
        <v/>
      </c>
      <c r="P105" s="127" t="str">
        <f ca="1">IF(M105&lt;&gt;0,VLOOKUP(N105,OFFSET(選手情報!$A$6:$W$119,IF(M105&lt;&gt;M104,0,R104),0),16,FALSE),"")</f>
        <v/>
      </c>
      <c r="Q105" s="127" t="str">
        <f ca="1">IF(M105&lt;&gt;0,VLOOKUP(N105,OFFSET(選手情報!$A$6:$W$119,IF(M105&lt;&gt;M104,0,R104),0),21,FALSE),"")</f>
        <v/>
      </c>
      <c r="R105" s="127">
        <f ca="1">IF(M105&lt;&gt;0,VLOOKUP(N105,OFFSET(選手情報!$A$6:$BD$119,IF(M105&lt;&gt;M104,0,R104),0),56,FALSE),0)</f>
        <v>0</v>
      </c>
      <c r="S105" s="127">
        <f ca="1">IF(M105&lt;&gt;0,IF(ISNA(R105),0,COUNTIF(OFFSET(選手情報!$A$6:$A$119,R105,0),N105)),0)</f>
        <v>0</v>
      </c>
      <c r="U105" s="127">
        <f>IF(ISNA(N105),0,IF(N105&lt;&gt;N91,1,0))</f>
        <v>0</v>
      </c>
      <c r="V105" s="127">
        <f ca="1">IF(ISNA(O105),0,1)</f>
        <v>1</v>
      </c>
      <c r="W105" s="127">
        <f ca="1">IF(ISNA(N105),0,IF(AND(N105&lt;&gt;"",ISNA(O105)),1,0))</f>
        <v>0</v>
      </c>
      <c r="X105" s="127" t="str">
        <f ca="1">Y105&amp;AA105&amp;AC105&amp;AE105&amp;AG105&amp;AI105&amp;AK105&amp;AM105&amp;AO105&amp;AQ105&amp;AS105&amp;AU105&amp;AW105&amp;AY105&amp;BA105&amp;BC105&amp;BE105&amp;BG105&amp;BI105</f>
        <v/>
      </c>
      <c r="Y105" s="127" t="str">
        <f>IF($A105&lt;&gt;"",IF(ISNA(VLOOKUP($N105,選手情報!$A$6:$M$119,13,FALSE)),"","/"&amp;VLOOKUP($N105,選手情報!$A$6:$M$119,13,FALSE)),"")</f>
        <v/>
      </c>
      <c r="Z105" s="127" t="str">
        <f ca="1">IF(Y105&lt;&gt;"",IF(ISNA(VLOOKUP($N105,OFFSET(選手情報!$A$6:$BD$119,0,0),56,FALSE)),"",VLOOKUP($N105,OFFSET(選手情報!$A$6:$BD$119,0,0),56,FALSE)),"")</f>
        <v/>
      </c>
      <c r="AA105" s="127" t="str">
        <f ca="1">IF(Z105&lt;&gt;"",IF(ISNA(VLOOKUP($N105,OFFSET(選手情報!$A$6:$M$119,Z105,0),13,FALSE)),"","/"&amp;VLOOKUP($N105,OFFSET(選手情報!$A$6:$M$119,Z105,0),13,FALSE)),"")</f>
        <v/>
      </c>
      <c r="AB105" s="127" t="str">
        <f ca="1">IF(Z105&lt;&gt;"",IF(ISNA(VLOOKUP($N105,OFFSET(選手情報!$A$6:$BD$119,Z105,0),56,FALSE)),"",VLOOKUP($N105,OFFSET(選手情報!$A$6:$BD$119,Z105,0),56,FALSE)),"")</f>
        <v/>
      </c>
      <c r="AC105" s="127" t="str">
        <f ca="1">IF(AB105&lt;&gt;"",IF(ISNA(VLOOKUP($N105,OFFSET(選手情報!$A$6:$M$119,AB105,0),13,FALSE)),"","/"&amp;VLOOKUP($N105,OFFSET(選手情報!$A$6:$M$119,AB105,0),13,FALSE)),"")</f>
        <v/>
      </c>
      <c r="AD105" s="127" t="str">
        <f ca="1">IF(AB105&lt;&gt;"",IF(ISNA(VLOOKUP($N105,OFFSET(選手情報!$A$6:$BD$119,AB105,0),56,FALSE)),"",VLOOKUP($N105,OFFSET(選手情報!$A$6:$BD$119,AB105,0),56,FALSE)),"")</f>
        <v/>
      </c>
      <c r="AE105" s="127" t="str">
        <f ca="1">IF(AD105&lt;&gt;"",IF(ISNA(VLOOKUP($N105,OFFSET(選手情報!$A$6:$M$119,AD105,0),13,FALSE)),"","/"&amp;VLOOKUP($N105,OFFSET(選手情報!$A$6:$M$119,AD105,0),13,FALSE)),"")</f>
        <v/>
      </c>
      <c r="AF105" s="127" t="str">
        <f ca="1">IF(AD105&lt;&gt;"",IF(ISNA(VLOOKUP($N105,OFFSET(選手情報!$A$6:$BD$119,AD105,0),56,FALSE)),"",VLOOKUP($N105,OFFSET(選手情報!$A$6:$BD$119,AD105,0),56,FALSE)),"")</f>
        <v/>
      </c>
      <c r="AG105" s="127" t="str">
        <f ca="1">IF(AF105&lt;&gt;"",IF(ISNA(VLOOKUP($N105,OFFSET(選手情報!$A$6:$M$119,AF105,0),13,FALSE)),"","/"&amp;VLOOKUP($N105,OFFSET(選手情報!$A$6:$M$119,AF105,0),13,FALSE)),"")</f>
        <v/>
      </c>
      <c r="AH105" s="127" t="str">
        <f ca="1">IF(AF105&lt;&gt;"",IF(ISNA(VLOOKUP($N105,OFFSET(選手情報!$A$6:$BD$119,AF105,0),56,FALSE)),"",VLOOKUP($N105,OFFSET(選手情報!$A$6:$BD$119,AF105,0),56,FALSE)),"")</f>
        <v/>
      </c>
      <c r="AI105" s="127" t="str">
        <f ca="1">IF(AH105&lt;&gt;"",IF(ISNA(VLOOKUP($N105,OFFSET(選手情報!$A$6:$M$119,AH105,0),13,FALSE)),"","/"&amp;VLOOKUP($N105,OFFSET(選手情報!$A$6:$M$119,AH105,0),13,FALSE)),"")</f>
        <v/>
      </c>
      <c r="AJ105" s="127" t="str">
        <f ca="1">IF(AH105&lt;&gt;"",IF(ISNA(VLOOKUP($N105,OFFSET(選手情報!$A$6:$BD$119,AH105,0),56,FALSE)),"",VLOOKUP($N105,OFFSET(選手情報!$A$6:$BD$119,AH105,0),56,FALSE)),"")</f>
        <v/>
      </c>
      <c r="AK105" s="127" t="str">
        <f ca="1">IF(AJ105&lt;&gt;"",IF(ISNA(VLOOKUP($N105,OFFSET(選手情報!$A$6:$M$119,AJ105,0),13,FALSE)),"","/"&amp;VLOOKUP($N105,OFFSET(選手情報!$A$6:$M$119,AJ105,0),13,FALSE)),"")</f>
        <v/>
      </c>
      <c r="AL105" s="127" t="str">
        <f ca="1">IF(AJ105&lt;&gt;"",IF(ISNA(VLOOKUP($N105,OFFSET(選手情報!$A$6:$BD$119,AJ105,0),56,FALSE)),"",VLOOKUP($N105,OFFSET(選手情報!$A$6:$BD$119,AJ105,0),56,FALSE)),"")</f>
        <v/>
      </c>
      <c r="AM105" s="127" t="str">
        <f ca="1">IF(AL105&lt;&gt;"",IF(ISNA(VLOOKUP($N105,OFFSET(選手情報!$A$6:$M$119,AL105,0),13,FALSE)),"","/"&amp;VLOOKUP($N105,OFFSET(選手情報!$A$6:$M$119,AL105,0),13,FALSE)),"")</f>
        <v/>
      </c>
      <c r="AN105" s="127" t="str">
        <f ca="1">IF(AL105&lt;&gt;"",IF(ISNA(VLOOKUP($N105,OFFSET(選手情報!$A$6:$BD$119,AL105,0),56,FALSE)),"",VLOOKUP($N105,OFFSET(選手情報!$A$6:$BD$119,AL105,0),56,FALSE)),"")</f>
        <v/>
      </c>
      <c r="AO105" s="127" t="str">
        <f ca="1">IF(AN105&lt;&gt;"",IF(ISNA(VLOOKUP($N105,OFFSET(選手情報!$A$6:$M$119,AN105,0),13,FALSE)),"","/"&amp;VLOOKUP($N105,OFFSET(選手情報!$A$6:$M$119,AN105,0),13,FALSE)),"")</f>
        <v/>
      </c>
      <c r="AP105" s="127" t="str">
        <f ca="1">IF(AN105&lt;&gt;"",IF(ISNA(VLOOKUP($N105,OFFSET(選手情報!$A$6:$BD$119,AN105,0),56,FALSE)),"",VLOOKUP($N105,OFFSET(選手情報!$A$6:$BD$119,AN105,0),56,FALSE)),"")</f>
        <v/>
      </c>
      <c r="AQ105" s="127" t="str">
        <f ca="1">IF(AP105&lt;&gt;"",IF(ISNA(VLOOKUP($N105,OFFSET(選手情報!$A$6:$M$119,AP105,0),13,FALSE)),"","/"&amp;VLOOKUP($N105,OFFSET(選手情報!$A$6:$M$119,AP105,0),13,FALSE)),"")</f>
        <v/>
      </c>
      <c r="AR105" s="127" t="str">
        <f ca="1">IF(AP105&lt;&gt;"",IF(ISNA(VLOOKUP($N105,OFFSET(選手情報!$A$6:$BD$119,AP105,0),56,FALSE)),"",VLOOKUP($N105,OFFSET(選手情報!$A$6:$BD$119,AP105,0),56,FALSE)),"")</f>
        <v/>
      </c>
      <c r="AS105" s="127" t="str">
        <f ca="1">IF(AR105&lt;&gt;"",IF(ISNA(VLOOKUP($N105,OFFSET(選手情報!$A$6:$M$119,AR105,0),13,FALSE)),"","/"&amp;VLOOKUP($N105,OFFSET(選手情報!$A$6:$M$119,AR105,0),13,FALSE)),"")</f>
        <v/>
      </c>
      <c r="AT105" s="127" t="str">
        <f ca="1">IF(AR105&lt;&gt;"",IF(ISNA(VLOOKUP($N105,OFFSET(選手情報!$A$6:$BD$119,AR105,0),56,FALSE)),"",VLOOKUP($N105,OFFSET(選手情報!$A$6:$BD$119,AR105,0),56,FALSE)),"")</f>
        <v/>
      </c>
      <c r="AU105" s="127" t="str">
        <f ca="1">IF(AT105&lt;&gt;"",IF(ISNA(VLOOKUP($N105,OFFSET(選手情報!$A$6:$M$119,AT105,0),13,FALSE)),"","/"&amp;VLOOKUP($N105,OFFSET(選手情報!$A$6:$M$119,AT105,0),13,FALSE)),"")</f>
        <v/>
      </c>
      <c r="AV105" s="127" t="str">
        <f ca="1">IF(AT105&lt;&gt;"",IF(ISNA(VLOOKUP($N105,OFFSET(選手情報!$A$6:$BD$119,AT105,0),56,FALSE)),"",VLOOKUP($N105,OFFSET(選手情報!$A$6:$BD$119,AT105,0),56,FALSE)),"")</f>
        <v/>
      </c>
      <c r="AW105" s="127" t="str">
        <f ca="1">IF(AV105&lt;&gt;"",IF(ISNA(VLOOKUP($N105,OFFSET(選手情報!$A$6:$M$119,AV105,0),13,FALSE)),"","/"&amp;VLOOKUP($N105,OFFSET(選手情報!$A$6:$M$119,AV105,0),13,FALSE)),"")</f>
        <v/>
      </c>
      <c r="AX105" s="127" t="str">
        <f ca="1">IF(AV105&lt;&gt;"",IF(ISNA(VLOOKUP($N105,OFFSET(選手情報!$A$6:$BD$119,AV105,0),56,FALSE)),"",VLOOKUP($N105,OFFSET(選手情報!$A$6:$BD$119,AV105,0),56,FALSE)),"")</f>
        <v/>
      </c>
      <c r="AY105" s="127" t="str">
        <f ca="1">IF(AX105&lt;&gt;"",IF(ISNA(VLOOKUP($N105,OFFSET(選手情報!$A$6:$M$119,AX105,0),13,FALSE)),"","/"&amp;VLOOKUP($N105,OFFSET(選手情報!$A$6:$M$119,AX105,0),13,FALSE)),"")</f>
        <v/>
      </c>
      <c r="AZ105" s="127" t="str">
        <f ca="1">IF(AX105&lt;&gt;"",IF(ISNA(VLOOKUP($N105,OFFSET(選手情報!$A$6:$BD$119,AX105,0),56,FALSE)),"",VLOOKUP($N105,OFFSET(選手情報!$A$6:$BD$119,AX105,0),56,FALSE)),"")</f>
        <v/>
      </c>
      <c r="BA105" s="127" t="str">
        <f ca="1">IF(AZ105&lt;&gt;"",IF(ISNA(VLOOKUP($N105,OFFSET(選手情報!$A$6:$M$119,AZ105,0),13,FALSE)),"","/"&amp;VLOOKUP($N105,OFFSET(選手情報!$A$6:$M$119,AZ105,0),13,FALSE)),"")</f>
        <v/>
      </c>
      <c r="BB105" s="127" t="str">
        <f ca="1">IF(AZ105&lt;&gt;"",IF(ISNA(VLOOKUP($N105,OFFSET(選手情報!$A$6:$BD$119,AZ105,0),56,FALSE)),"",VLOOKUP($N105,OFFSET(選手情報!$A$6:$BD$119,AZ105,0),56,FALSE)),"")</f>
        <v/>
      </c>
      <c r="BC105" s="127" t="str">
        <f ca="1">IF(BB105&lt;&gt;"",IF(ISNA(VLOOKUP($N105,OFFSET(選手情報!$A$6:$M$119,BB105,0),13,FALSE)),"","/"&amp;VLOOKUP($N105,OFFSET(選手情報!$A$6:$M$119,BB105,0),13,FALSE)),"")</f>
        <v/>
      </c>
      <c r="BD105" s="127" t="str">
        <f ca="1">IF(BB105&lt;&gt;"",IF(ISNA(VLOOKUP($N105,OFFSET(選手情報!$A$6:$BD$119,BB105,0),56,FALSE)),"",VLOOKUP($N105,OFFSET(選手情報!$A$6:$BD$119,BB105,0),56,FALSE)),"")</f>
        <v/>
      </c>
      <c r="BE105" s="127" t="str">
        <f ca="1">IF(BD105&lt;&gt;"",IF(ISNA(VLOOKUP($N105,OFFSET(選手情報!$A$6:$M$119,BD105,0),13,FALSE)),"","/"&amp;VLOOKUP($N105,OFFSET(選手情報!$A$6:$M$119,BD105,0),13,FALSE)),"")</f>
        <v/>
      </c>
      <c r="BF105" s="127" t="str">
        <f ca="1">IF(BD105&lt;&gt;"",IF(ISNA(VLOOKUP($N105,OFFSET(選手情報!$A$6:$BD$119,BD105,0),56,FALSE)),"",VLOOKUP($N105,OFFSET(選手情報!$A$6:$BD$119,BD105,0),56,FALSE)),"")</f>
        <v/>
      </c>
      <c r="BG105" s="127" t="str">
        <f ca="1">IF(BF105&lt;&gt;"",IF(ISNA(VLOOKUP($N105,OFFSET(選手情報!$A$6:$M$119,BF105,0),13,FALSE)),"","/"&amp;VLOOKUP($N105,OFFSET(選手情報!$A$6:$M$119,BF105,0),13,FALSE)),"")</f>
        <v/>
      </c>
      <c r="BH105" s="127" t="str">
        <f ca="1">IF(BF105&lt;&gt;"",IF(ISNA(VLOOKUP($N105,OFFSET(選手情報!$A$6:$BD$119,BF105,0),56,FALSE)),"",VLOOKUP($N105,OFFSET(選手情報!$A$6:$BD$119,BF105,0),56,FALSE)),"")</f>
        <v/>
      </c>
      <c r="BI105" s="127" t="str">
        <f ca="1">IF(BH105&lt;&gt;"",IF(ISNA(VLOOKUP($N105,OFFSET(選手情報!$A$6:$M$119,BH105,0),13,FALSE)),"","/"&amp;VLOOKUP($N105,OFFSET(選手情報!$A$6:$M$119,BH105,0),13,FALSE)),"")</f>
        <v/>
      </c>
    </row>
    <row r="106" spans="1:62" ht="14.25" thickBot="1">
      <c r="A106" s="117" t="str">
        <f>設定!B1&amp;"　総括申込書（女子）"</f>
        <v>第６８回西日本学生陸上競技対校選手権大会　総括申込書（女子）</v>
      </c>
      <c r="B106" s="117"/>
      <c r="C106" s="117"/>
      <c r="D106" s="117"/>
      <c r="E106" s="117"/>
      <c r="F106" s="117"/>
      <c r="G106" s="236" t="str">
        <f>IF(学校情報!B5&lt;&gt;"",学校情報!B5,"")&amp;"　（様式Ⅰ-３）"</f>
        <v>　（様式Ⅰ-３）</v>
      </c>
      <c r="H106" s="236"/>
      <c r="I106" s="236"/>
      <c r="J106" s="236"/>
      <c r="K106" s="236"/>
      <c r="L106" s="236"/>
    </row>
    <row r="107" spans="1:62" ht="9.9499999999999993" customHeight="1">
      <c r="A107" s="225" t="s">
        <v>14</v>
      </c>
      <c r="B107" s="227" t="s">
        <v>15</v>
      </c>
      <c r="C107" s="227" t="s">
        <v>22</v>
      </c>
      <c r="D107" s="227" t="s">
        <v>17</v>
      </c>
      <c r="E107" s="227" t="s">
        <v>142</v>
      </c>
      <c r="F107" s="227" t="s">
        <v>163</v>
      </c>
      <c r="G107" s="223" t="s">
        <v>172</v>
      </c>
      <c r="H107" s="227" t="s">
        <v>18</v>
      </c>
      <c r="I107" s="232" t="s">
        <v>24</v>
      </c>
      <c r="J107" s="233"/>
      <c r="K107" s="230" t="s">
        <v>152</v>
      </c>
      <c r="L107" s="231"/>
      <c r="R107" s="101" t="s">
        <v>170</v>
      </c>
    </row>
    <row r="108" spans="1:62" ht="9.9499999999999993" customHeight="1" thickBot="1">
      <c r="A108" s="226"/>
      <c r="B108" s="228"/>
      <c r="C108" s="228"/>
      <c r="D108" s="228"/>
      <c r="E108" s="228"/>
      <c r="F108" s="228"/>
      <c r="G108" s="224"/>
      <c r="H108" s="228"/>
      <c r="I108" s="234"/>
      <c r="J108" s="235"/>
      <c r="K108" s="118" t="s">
        <v>173</v>
      </c>
      <c r="L108" s="119" t="s">
        <v>174</v>
      </c>
      <c r="M108" s="101" t="s">
        <v>167</v>
      </c>
      <c r="N108" s="101" t="s">
        <v>168</v>
      </c>
      <c r="O108" s="101" t="s">
        <v>138</v>
      </c>
      <c r="P108" s="101" t="s">
        <v>169</v>
      </c>
      <c r="R108" s="101">
        <v>0</v>
      </c>
      <c r="S108" s="101" t="s">
        <v>171</v>
      </c>
      <c r="X108" s="101" t="s">
        <v>259</v>
      </c>
      <c r="Y108" s="181">
        <v>1</v>
      </c>
      <c r="Z108" s="181"/>
      <c r="AA108" s="181">
        <v>2</v>
      </c>
      <c r="AB108" s="181"/>
      <c r="AC108" s="181">
        <v>3</v>
      </c>
      <c r="AD108" s="181"/>
      <c r="AE108" s="181">
        <v>4</v>
      </c>
      <c r="AF108" s="181"/>
      <c r="AG108" s="181">
        <v>5</v>
      </c>
      <c r="AH108" s="181"/>
      <c r="AI108" s="181">
        <v>6</v>
      </c>
      <c r="AJ108" s="181"/>
      <c r="AK108" s="181">
        <v>7</v>
      </c>
      <c r="AL108" s="181"/>
      <c r="AM108" s="181">
        <v>8</v>
      </c>
      <c r="AN108" s="181"/>
      <c r="AO108" s="181">
        <v>9</v>
      </c>
      <c r="AP108" s="181"/>
      <c r="AQ108" s="181">
        <v>10</v>
      </c>
      <c r="AR108" s="181"/>
      <c r="AS108" s="181">
        <v>11</v>
      </c>
      <c r="AT108" s="181"/>
      <c r="AU108" s="181">
        <v>12</v>
      </c>
      <c r="AV108" s="181"/>
      <c r="AW108" s="181">
        <v>13</v>
      </c>
      <c r="AX108" s="181"/>
      <c r="AY108" s="181">
        <v>14</v>
      </c>
      <c r="AZ108" s="181"/>
      <c r="BA108" s="181">
        <v>15</v>
      </c>
      <c r="BB108" s="181"/>
      <c r="BC108" s="181">
        <v>16</v>
      </c>
      <c r="BD108" s="181"/>
      <c r="BE108" s="181">
        <v>17</v>
      </c>
      <c r="BF108" s="181"/>
      <c r="BG108" s="181">
        <v>18</v>
      </c>
      <c r="BH108" s="181"/>
      <c r="BI108" s="181">
        <v>19</v>
      </c>
      <c r="BJ108" s="181"/>
    </row>
    <row r="109" spans="1:62" s="127" customFormat="1" ht="12.6" customHeight="1">
      <c r="A109" s="120">
        <f>IF(ISNA(VLOOKUP($C$2&amp;N109,選手データ!A:H,3,FALSE)),"",VLOOKUP($C$2&amp;N109,選手データ!A:H,3,FALSE))</f>
        <v>0</v>
      </c>
      <c r="B109" s="121">
        <f>IF(A109&lt;&gt;"",VLOOKUP($C$2&amp;N109,選手データ!A:H,4,FALSE),"")</f>
        <v>0</v>
      </c>
      <c r="C109" s="121">
        <f>IF(A109&lt;&gt;"",VLOOKUP($C$2&amp;N109,選手データ!A:H,5,FALSE),"")</f>
        <v>0</v>
      </c>
      <c r="D109" s="121">
        <f>IF(A109&lt;&gt;"",VLOOKUP($C$2&amp;N109,選手データ!A:H,6,FALSE),"")</f>
        <v>0</v>
      </c>
      <c r="E109" s="121">
        <f>IF(A109&lt;&gt;"",VLOOKUP($C$2&amp;N109,選手データ!A:H,7,FALSE),"")</f>
        <v>0</v>
      </c>
      <c r="F109" s="122">
        <f>IF(A109&lt;&gt;"",VLOOKUP($C$2&amp;N109,選手データ!A:H,8,FALSE),"")</f>
        <v>0</v>
      </c>
      <c r="G109" s="122" t="str">
        <f>IF(F109&lt;&gt;"",IF(DATEDIF(F109,設定!$B$12,"Y")&lt;20,"〇",""),"")</f>
        <v/>
      </c>
      <c r="H109" s="124" t="str">
        <f ca="1">IF(ISNA(O109),"",O109)</f>
        <v/>
      </c>
      <c r="I109" s="125" t="str">
        <f ca="1">IF(ISNA(Q109),"",Q109)</f>
        <v/>
      </c>
      <c r="J109" s="124" t="str">
        <f ca="1">IF(ISNA(P109),"",P109)</f>
        <v/>
      </c>
      <c r="K109" s="122" t="str">
        <f>IF(A109&lt;&gt;"",IF(COUNTIF(リレーチーム情報!$B$17:$B$22,A109&amp;E109)=1,"〇",""),"")</f>
        <v/>
      </c>
      <c r="L109" s="126" t="str">
        <f>IF(A109&lt;&gt;"",IF(COUNTIF(リレーチーム情報!$B$23:$B$28,A109&amp;E109)=1,"〇",""),"")</f>
        <v/>
      </c>
      <c r="M109" s="127">
        <f>IF(学校情報!$A$4&lt;&gt;"",0,1)</f>
        <v>0</v>
      </c>
      <c r="N109" s="127" t="str">
        <f>IF(M109&lt;&gt;0,VLOOKUP(M109,選手情報!BI:BJ,2,FALSE),"")</f>
        <v/>
      </c>
      <c r="O109" s="127" t="str">
        <f ca="1">IF(M109&lt;&gt;0,VLOOKUP(N109,OFFSET(選手情報!$A$6:$W$119,IF(M109&lt;&gt;M108,0,R108),0),13,FALSE),"")</f>
        <v/>
      </c>
      <c r="P109" s="127" t="str">
        <f ca="1">IF(M109&lt;&gt;0,VLOOKUP(N109,OFFSET(選手情報!$A$6:$W$119,IF(M109&lt;&gt;M108,0,R108),0),16,FALSE),"")</f>
        <v/>
      </c>
      <c r="Q109" s="127" t="str">
        <f ca="1">IF(M109&lt;&gt;0,VLOOKUP(N109,OFFSET(選手情報!$A$6:$W$119,IF(M109&lt;&gt;M108,0,R108),0),21,FALSE),"")</f>
        <v/>
      </c>
      <c r="R109" s="127">
        <f ca="1">IF(M109&lt;&gt;0,VLOOKUP(N109,OFFSET(選手情報!$A$6:$BD$119,IF(M109&lt;&gt;M108,0,R108),0),56,FALSE),0)</f>
        <v>0</v>
      </c>
      <c r="S109" s="127">
        <f ca="1">IF(M109&lt;&gt;0,IF(ISNA(R109),0,COUNTIF(OFFSET(選手情報!$A$6:$A$119,R109,0),N109)),0)</f>
        <v>0</v>
      </c>
      <c r="U109" s="127">
        <f>IF(ISNA(N109),0,IF(N109&lt;&gt;N108,1,0))</f>
        <v>1</v>
      </c>
      <c r="V109" s="127">
        <f ca="1">IF(ISNA(O109),0,1)</f>
        <v>1</v>
      </c>
      <c r="W109" s="127">
        <f t="shared" ref="W109:W172" ca="1" si="12">IF(ISNA(N109),0,IF(AND(N109&lt;&gt;"",ISNA(O109)),1,0))</f>
        <v>0</v>
      </c>
      <c r="X109" s="127" t="str">
        <f ca="1">Y109&amp;AA109&amp;AC109&amp;AE109&amp;AG109&amp;AI109&amp;AK109&amp;AM109&amp;AO109&amp;AQ109&amp;AS109&amp;AU109&amp;AW109&amp;AY109&amp;BA109&amp;BC109&amp;BE109&amp;BG109&amp;BI109</f>
        <v>///////////////////</v>
      </c>
      <c r="Y109" s="127" t="str">
        <f>IF($A109&lt;&gt;"",IF(ISNA(VLOOKUP($N109,選手情報!$A$6:$M$119,13,FALSE)),"","/"&amp;VLOOKUP($N109,選手情報!$A$6:$M$119,13,FALSE)),"")</f>
        <v>/</v>
      </c>
      <c r="Z109" s="127">
        <f ca="1">IF(Y109&lt;&gt;"",IF(ISNA(VLOOKUP($N109,OFFSET(選手情報!$A$6:$BD$119,0,0),56,FALSE)),"",VLOOKUP($N109,OFFSET(選手情報!$A$6:$BD$119,0,0),56,FALSE)),"")</f>
        <v>1</v>
      </c>
      <c r="AA109" s="127" t="str">
        <f ca="1">IF(Z109&lt;&gt;"",IF(ISNA(VLOOKUP($N109,OFFSET(選手情報!$A$6:$M$119,Z109,0),13,FALSE)),"","/"&amp;VLOOKUP($N109,OFFSET(選手情報!$A$6:$M$119,Z109,0),13,FALSE)),"")</f>
        <v>/</v>
      </c>
      <c r="AB109" s="127">
        <f ca="1">IF(Z109&lt;&gt;"",IF(ISNA(VLOOKUP($N109,OFFSET(選手情報!$A$6:$BD$119,Z109,0),56,FALSE)),"",VLOOKUP($N109,OFFSET(選手情報!$A$6:$BD$119,Z109,0),56,FALSE)),"")</f>
        <v>2</v>
      </c>
      <c r="AC109" s="127" t="str">
        <f ca="1">IF(AB109&lt;&gt;"",IF(ISNA(VLOOKUP($N109,OFFSET(選手情報!$A$6:$M$119,AB109,0),13,FALSE)),"","/"&amp;VLOOKUP($N109,OFFSET(選手情報!$A$6:$M$119,AB109,0),13,FALSE)),"")</f>
        <v>/</v>
      </c>
      <c r="AD109" s="127">
        <f ca="1">IF(AB109&lt;&gt;"",IF(ISNA(VLOOKUP($N109,OFFSET(選手情報!$A$6:$BD$119,AB109,0),56,FALSE)),"",VLOOKUP($N109,OFFSET(選手情報!$A$6:$BD$119,AB109,0),56,FALSE)),"")</f>
        <v>3</v>
      </c>
      <c r="AE109" s="127" t="str">
        <f ca="1">IF(AD109&lt;&gt;"",IF(ISNA(VLOOKUP($N109,OFFSET(選手情報!$A$6:$M$119,AD109,0),13,FALSE)),"","/"&amp;VLOOKUP($N109,OFFSET(選手情報!$A$6:$M$119,AD109,0),13,FALSE)),"")</f>
        <v>/</v>
      </c>
      <c r="AF109" s="127">
        <f ca="1">IF(AD109&lt;&gt;"",IF(ISNA(VLOOKUP($N109,OFFSET(選手情報!$A$6:$BD$119,AD109,0),56,FALSE)),"",VLOOKUP($N109,OFFSET(選手情報!$A$6:$BD$119,AD109,0),56,FALSE)),"")</f>
        <v>4</v>
      </c>
      <c r="AG109" s="127" t="str">
        <f ca="1">IF(AF109&lt;&gt;"",IF(ISNA(VLOOKUP($N109,OFFSET(選手情報!$A$6:$M$119,AF109,0),13,FALSE)),"","/"&amp;VLOOKUP($N109,OFFSET(選手情報!$A$6:$M$119,AF109,0),13,FALSE)),"")</f>
        <v>/</v>
      </c>
      <c r="AH109" s="127">
        <f ca="1">IF(AF109&lt;&gt;"",IF(ISNA(VLOOKUP($N109,OFFSET(選手情報!$A$6:$BD$119,AF109,0),56,FALSE)),"",VLOOKUP($N109,OFFSET(選手情報!$A$6:$BD$119,AF109,0),56,FALSE)),"")</f>
        <v>5</v>
      </c>
      <c r="AI109" s="127" t="str">
        <f ca="1">IF(AH109&lt;&gt;"",IF(ISNA(VLOOKUP($N109,OFFSET(選手情報!$A$6:$M$119,AH109,0),13,FALSE)),"","/"&amp;VLOOKUP($N109,OFFSET(選手情報!$A$6:$M$119,AH109,0),13,FALSE)),"")</f>
        <v>/</v>
      </c>
      <c r="AJ109" s="127">
        <f ca="1">IF(AH109&lt;&gt;"",IF(ISNA(VLOOKUP($N109,OFFSET(選手情報!$A$6:$BD$119,AH109,0),56,FALSE)),"",VLOOKUP($N109,OFFSET(選手情報!$A$6:$BD$119,AH109,0),56,FALSE)),"")</f>
        <v>6</v>
      </c>
      <c r="AK109" s="127" t="str">
        <f ca="1">IF(AJ109&lt;&gt;"",IF(ISNA(VLOOKUP($N109,OFFSET(選手情報!$A$6:$M$119,AJ109,0),13,FALSE)),"","/"&amp;VLOOKUP($N109,OFFSET(選手情報!$A$6:$M$119,AJ109,0),13,FALSE)),"")</f>
        <v>/</v>
      </c>
      <c r="AL109" s="127">
        <f ca="1">IF(AJ109&lt;&gt;"",IF(ISNA(VLOOKUP($N109,OFFSET(選手情報!$A$6:$BD$119,AJ109,0),56,FALSE)),"",VLOOKUP($N109,OFFSET(選手情報!$A$6:$BD$119,AJ109,0),56,FALSE)),"")</f>
        <v>7</v>
      </c>
      <c r="AM109" s="127" t="str">
        <f ca="1">IF(AL109&lt;&gt;"",IF(ISNA(VLOOKUP($N109,OFFSET(選手情報!$A$6:$M$119,AL109,0),13,FALSE)),"","/"&amp;VLOOKUP($N109,OFFSET(選手情報!$A$6:$M$119,AL109,0),13,FALSE)),"")</f>
        <v>/</v>
      </c>
      <c r="AN109" s="127">
        <f ca="1">IF(AL109&lt;&gt;"",IF(ISNA(VLOOKUP($N109,OFFSET(選手情報!$A$6:$BD$119,AL109,0),56,FALSE)),"",VLOOKUP($N109,OFFSET(選手情報!$A$6:$BD$119,AL109,0),56,FALSE)),"")</f>
        <v>8</v>
      </c>
      <c r="AO109" s="127" t="str">
        <f ca="1">IF(AN109&lt;&gt;"",IF(ISNA(VLOOKUP($N109,OFFSET(選手情報!$A$6:$M$119,AN109,0),13,FALSE)),"","/"&amp;VLOOKUP($N109,OFFSET(選手情報!$A$6:$M$119,AN109,0),13,FALSE)),"")</f>
        <v>/</v>
      </c>
      <c r="AP109" s="127">
        <f ca="1">IF(AN109&lt;&gt;"",IF(ISNA(VLOOKUP($N109,OFFSET(選手情報!$A$6:$BD$119,AN109,0),56,FALSE)),"",VLOOKUP($N109,OFFSET(選手情報!$A$6:$BD$119,AN109,0),56,FALSE)),"")</f>
        <v>9</v>
      </c>
      <c r="AQ109" s="127" t="str">
        <f ca="1">IF(AP109&lt;&gt;"",IF(ISNA(VLOOKUP($N109,OFFSET(選手情報!$A$6:$M$119,AP109,0),13,FALSE)),"","/"&amp;VLOOKUP($N109,OFFSET(選手情報!$A$6:$M$119,AP109,0),13,FALSE)),"")</f>
        <v>/</v>
      </c>
      <c r="AR109" s="127">
        <f ca="1">IF(AP109&lt;&gt;"",IF(ISNA(VLOOKUP($N109,OFFSET(選手情報!$A$6:$BD$119,AP109,0),56,FALSE)),"",VLOOKUP($N109,OFFSET(選手情報!$A$6:$BD$119,AP109,0),56,FALSE)),"")</f>
        <v>10</v>
      </c>
      <c r="AS109" s="127" t="str">
        <f ca="1">IF(AR109&lt;&gt;"",IF(ISNA(VLOOKUP($N109,OFFSET(選手情報!$A$6:$M$119,AR109,0),13,FALSE)),"","/"&amp;VLOOKUP($N109,OFFSET(選手情報!$A$6:$M$119,AR109,0),13,FALSE)),"")</f>
        <v>/</v>
      </c>
      <c r="AT109" s="127">
        <f ca="1">IF(AR109&lt;&gt;"",IF(ISNA(VLOOKUP($N109,OFFSET(選手情報!$A$6:$BD$119,AR109,0),56,FALSE)),"",VLOOKUP($N109,OFFSET(選手情報!$A$6:$BD$119,AR109,0),56,FALSE)),"")</f>
        <v>11</v>
      </c>
      <c r="AU109" s="127" t="str">
        <f ca="1">IF(AT109&lt;&gt;"",IF(ISNA(VLOOKUP($N109,OFFSET(選手情報!$A$6:$M$119,AT109,0),13,FALSE)),"","/"&amp;VLOOKUP($N109,OFFSET(選手情報!$A$6:$M$119,AT109,0),13,FALSE)),"")</f>
        <v>/</v>
      </c>
      <c r="AV109" s="127">
        <f ca="1">IF(AT109&lt;&gt;"",IF(ISNA(VLOOKUP($N109,OFFSET(選手情報!$A$6:$BD$119,AT109,0),56,FALSE)),"",VLOOKUP($N109,OFFSET(選手情報!$A$6:$BD$119,AT109,0),56,FALSE)),"")</f>
        <v>12</v>
      </c>
      <c r="AW109" s="127" t="str">
        <f ca="1">IF(AV109&lt;&gt;"",IF(ISNA(VLOOKUP($N109,OFFSET(選手情報!$A$6:$M$119,AV109,0),13,FALSE)),"","/"&amp;VLOOKUP($N109,OFFSET(選手情報!$A$6:$M$119,AV109,0),13,FALSE)),"")</f>
        <v>/</v>
      </c>
      <c r="AX109" s="127">
        <f ca="1">IF(AV109&lt;&gt;"",IF(ISNA(VLOOKUP($N109,OFFSET(選手情報!$A$6:$BD$119,AV109,0),56,FALSE)),"",VLOOKUP($N109,OFFSET(選手情報!$A$6:$BD$119,AV109,0),56,FALSE)),"")</f>
        <v>13</v>
      </c>
      <c r="AY109" s="127" t="str">
        <f ca="1">IF(AX109&lt;&gt;"",IF(ISNA(VLOOKUP($N109,OFFSET(選手情報!$A$6:$M$119,AX109,0),13,FALSE)),"","/"&amp;VLOOKUP($N109,OFFSET(選手情報!$A$6:$M$119,AX109,0),13,FALSE)),"")</f>
        <v>/</v>
      </c>
      <c r="AZ109" s="127">
        <f ca="1">IF(AX109&lt;&gt;"",IF(ISNA(VLOOKUP($N109,OFFSET(選手情報!$A$6:$BD$119,AX109,0),56,FALSE)),"",VLOOKUP($N109,OFFSET(選手情報!$A$6:$BD$119,AX109,0),56,FALSE)),"")</f>
        <v>14</v>
      </c>
      <c r="BA109" s="127" t="str">
        <f ca="1">IF(AZ109&lt;&gt;"",IF(ISNA(VLOOKUP($N109,OFFSET(選手情報!$A$6:$M$119,AZ109,0),13,FALSE)),"","/"&amp;VLOOKUP($N109,OFFSET(選手情報!$A$6:$M$119,AZ109,0),13,FALSE)),"")</f>
        <v>/</v>
      </c>
      <c r="BB109" s="127">
        <f ca="1">IF(AZ109&lt;&gt;"",IF(ISNA(VLOOKUP($N109,OFFSET(選手情報!$A$6:$BD$119,AZ109,0),56,FALSE)),"",VLOOKUP($N109,OFFSET(選手情報!$A$6:$BD$119,AZ109,0),56,FALSE)),"")</f>
        <v>15</v>
      </c>
      <c r="BC109" s="127" t="str">
        <f ca="1">IF(BB109&lt;&gt;"",IF(ISNA(VLOOKUP($N109,OFFSET(選手情報!$A$6:$M$119,BB109,0),13,FALSE)),"","/"&amp;VLOOKUP($N109,OFFSET(選手情報!$A$6:$M$119,BB109,0),13,FALSE)),"")</f>
        <v>/</v>
      </c>
      <c r="BD109" s="127">
        <f ca="1">IF(BB109&lt;&gt;"",IF(ISNA(VLOOKUP($N109,OFFSET(選手情報!$A$6:$BD$119,BB109,0),56,FALSE)),"",VLOOKUP($N109,OFFSET(選手情報!$A$6:$BD$119,BB109,0),56,FALSE)),"")</f>
        <v>16</v>
      </c>
      <c r="BE109" s="127" t="str">
        <f ca="1">IF(BD109&lt;&gt;"",IF(ISNA(VLOOKUP($N109,OFFSET(選手情報!$A$6:$M$119,BD109,0),13,FALSE)),"","/"&amp;VLOOKUP($N109,OFFSET(選手情報!$A$6:$M$119,BD109,0),13,FALSE)),"")</f>
        <v>/</v>
      </c>
      <c r="BF109" s="127">
        <f ca="1">IF(BD109&lt;&gt;"",IF(ISNA(VLOOKUP($N109,OFFSET(選手情報!$A$6:$BD$119,BD109,0),56,FALSE)),"",VLOOKUP($N109,OFFSET(選手情報!$A$6:$BD$119,BD109,0),56,FALSE)),"")</f>
        <v>17</v>
      </c>
      <c r="BG109" s="127" t="str">
        <f ca="1">IF(BF109&lt;&gt;"",IF(ISNA(VLOOKUP($N109,OFFSET(選手情報!$A$6:$M$119,BF109,0),13,FALSE)),"","/"&amp;VLOOKUP($N109,OFFSET(選手情報!$A$6:$M$119,BF109,0),13,FALSE)),"")</f>
        <v>/</v>
      </c>
      <c r="BH109" s="127">
        <f ca="1">IF(BF109&lt;&gt;"",IF(ISNA(VLOOKUP($N109,OFFSET(選手情報!$A$6:$BD$119,BF109,0),56,FALSE)),"",VLOOKUP($N109,OFFSET(選手情報!$A$6:$BD$119,BF109,0),56,FALSE)),"")</f>
        <v>18</v>
      </c>
      <c r="BI109" s="127" t="str">
        <f ca="1">IF(BH109&lt;&gt;"",IF(ISNA(VLOOKUP($N109,OFFSET(選手情報!$A$6:$M$119,BH109,0),13,FALSE)),"","/"&amp;VLOOKUP($N109,OFFSET(選手情報!$A$6:$M$119,BH109,0),13,FALSE)),"")</f>
        <v>/</v>
      </c>
      <c r="BJ109" s="127">
        <f ca="1">IF(BH109&lt;&gt;"",IF(ISNA(VLOOKUP($N109,OFFSET(選手情報!$A$6:$BD$119,BH109,0),56,FALSE)),"",VLOOKUP($N109,OFFSET(選手情報!$A$6:$BD$119,BH109,0),56,FALSE)),"")</f>
        <v>19</v>
      </c>
    </row>
    <row r="110" spans="1:62" s="127" customFormat="1" ht="12.6" customHeight="1">
      <c r="A110" s="128" t="str">
        <f>IF(ISNA(VLOOKUP($C$2&amp;N110,選手データ!A:H,3,FALSE)),"",IF(M110&lt;&gt;M109,VLOOKUP($C$2&amp;N110,選手データ!A:H,3,FALSE),""))</f>
        <v/>
      </c>
      <c r="B110" s="129" t="str">
        <f>IF(A110&lt;&gt;"",VLOOKUP($C$2&amp;N110,選手データ!A:H,4,FALSE),"")</f>
        <v/>
      </c>
      <c r="C110" s="129" t="str">
        <f>IF(A110&lt;&gt;"",VLOOKUP($C$2&amp;N110,選手データ!A:H,5,FALSE),"")</f>
        <v/>
      </c>
      <c r="D110" s="129" t="str">
        <f>IF(A110&lt;&gt;"",VLOOKUP($C$2&amp;N110,選手データ!A:H,6,FALSE),"")</f>
        <v/>
      </c>
      <c r="E110" s="129" t="str">
        <f>IF(A110&lt;&gt;"",VLOOKUP($C$2&amp;N110,選手データ!A:H,7,FALSE),"")</f>
        <v/>
      </c>
      <c r="F110" s="130" t="str">
        <f>IF(A110&lt;&gt;"",VLOOKUP($C$2&amp;N110,選手データ!A:H,8,FALSE),"")</f>
        <v/>
      </c>
      <c r="G110" s="130" t="str">
        <f>IF(F110&lt;&gt;"",IF(DATEDIF(F110,設定!$B$12,"Y")&lt;20,"〇",""),"")</f>
        <v/>
      </c>
      <c r="H110" s="131" t="str">
        <f t="shared" ref="H110:H138" ca="1" si="13">IF(ISNA(O110),"",O110)</f>
        <v/>
      </c>
      <c r="I110" s="132" t="str">
        <f t="shared" ref="I110:I138" ca="1" si="14">IF(ISNA(Q110),"",Q110)</f>
        <v/>
      </c>
      <c r="J110" s="131" t="str">
        <f t="shared" ref="J110:J138" ca="1" si="15">IF(ISNA(P110),"",P110)</f>
        <v/>
      </c>
      <c r="K110" s="130" t="str">
        <f>IF(A110&lt;&gt;"",IF(COUNTIF(リレーチーム情報!$B$17:$B$22,A110&amp;E110)=1,"〇",""),"")</f>
        <v/>
      </c>
      <c r="L110" s="133" t="str">
        <f>IF(A110&lt;&gt;"",IF(COUNTIF(リレーチーム情報!$B$23:$B$28,A110&amp;E110)=1,"〇",""),"")</f>
        <v/>
      </c>
      <c r="M110" s="127">
        <f>IF(学校情報!$A$4&lt;&gt;"",0,IF(S109=0,MAX($M$109:M109)+1,M109))</f>
        <v>0</v>
      </c>
      <c r="N110" s="127" t="str">
        <f>IF(M110&lt;&gt;0,VLOOKUP(M110,選手情報!BI:BJ,2,FALSE),"")</f>
        <v/>
      </c>
      <c r="O110" s="127" t="str">
        <f ca="1">IF(M110&lt;&gt;0,VLOOKUP(N110,OFFSET(選手情報!$A$6:$W$119,IF(M110&lt;&gt;M109,0,R109),0),13,FALSE),"")</f>
        <v/>
      </c>
      <c r="P110" s="127" t="str">
        <f ca="1">IF(M110&lt;&gt;0,VLOOKUP(N110,OFFSET(選手情報!$A$6:$W$119,IF(M110&lt;&gt;M109,0,R109),0),16,FALSE),"")</f>
        <v/>
      </c>
      <c r="Q110" s="127" t="str">
        <f ca="1">IF(M110&lt;&gt;0,VLOOKUP(N110,OFFSET(選手情報!$A$6:$W$119,IF(M110&lt;&gt;M109,0,R109),0),21,FALSE),"")</f>
        <v/>
      </c>
      <c r="R110" s="127">
        <f ca="1">IF(M110&lt;&gt;0,VLOOKUP(N110,OFFSET(選手情報!$A$6:$BD$119,IF(M110&lt;&gt;M109,0,R109),0),56,FALSE),0)</f>
        <v>0</v>
      </c>
      <c r="S110" s="127">
        <f ca="1">IF(M110&lt;&gt;0,IF(ISNA(R110),0,COUNTIF(OFFSET(選手情報!$A$6:$A$119,R110,0),N110)),0)</f>
        <v>0</v>
      </c>
      <c r="U110" s="127">
        <f t="shared" ref="U110:U177" si="16">IF(ISNA(N110),0,IF(N110&lt;&gt;N109,1,0))</f>
        <v>0</v>
      </c>
      <c r="V110" s="127">
        <f t="shared" ref="V110:V173" ca="1" si="17">IF(ISNA(O110),0,1)</f>
        <v>1</v>
      </c>
      <c r="W110" s="127">
        <f t="shared" ca="1" si="12"/>
        <v>0</v>
      </c>
      <c r="X110" s="127" t="str">
        <f t="shared" ref="X110:X173" ca="1" si="18">Y110&amp;AA110&amp;AC110&amp;AE110&amp;AG110&amp;AI110&amp;AK110&amp;AM110&amp;AO110&amp;AQ110&amp;AS110&amp;AU110&amp;AW110&amp;AY110&amp;BA110&amp;BC110&amp;BE110&amp;BG110&amp;BI110</f>
        <v/>
      </c>
      <c r="Y110" s="127" t="str">
        <f>IF($A110&lt;&gt;"",IF(ISNA(VLOOKUP($N110,選手情報!$A$6:$M$119,13,FALSE)),"","/"&amp;VLOOKUP($N110,選手情報!$A$6:$M$119,13,FALSE)),"")</f>
        <v/>
      </c>
      <c r="Z110" s="127" t="str">
        <f ca="1">IF(Y110&lt;&gt;"",IF(ISNA(VLOOKUP($N110,OFFSET(選手情報!$A$6:$BD$119,0,0),56,FALSE)),"",VLOOKUP($N110,OFFSET(選手情報!$A$6:$BD$119,0,0),56,FALSE)),"")</f>
        <v/>
      </c>
      <c r="AA110" s="127" t="str">
        <f ca="1">IF(Z110&lt;&gt;"",IF(ISNA(VLOOKUP($N110,OFFSET(選手情報!$A$6:$M$119,Z110,0),13,FALSE)),"","/"&amp;VLOOKUP($N110,OFFSET(選手情報!$A$6:$M$119,Z110,0),13,FALSE)),"")</f>
        <v/>
      </c>
      <c r="AB110" s="127" t="str">
        <f ca="1">IF(Z110&lt;&gt;"",IF(ISNA(VLOOKUP($N110,OFFSET(選手情報!$A$6:$BD$119,Z110,0),56,FALSE)),"",VLOOKUP($N110,OFFSET(選手情報!$A$6:$BD$119,Z110,0),56,FALSE)),"")</f>
        <v/>
      </c>
      <c r="AC110" s="127" t="str">
        <f ca="1">IF(AB110&lt;&gt;"",IF(ISNA(VLOOKUP($N110,OFFSET(選手情報!$A$6:$M$119,AB110,0),13,FALSE)),"","/"&amp;VLOOKUP($N110,OFFSET(選手情報!$A$6:$M$119,AB110,0),13,FALSE)),"")</f>
        <v/>
      </c>
      <c r="AD110" s="127" t="str">
        <f ca="1">IF(AB110&lt;&gt;"",IF(ISNA(VLOOKUP($N110,OFFSET(選手情報!$A$6:$BD$119,AB110,0),56,FALSE)),"",VLOOKUP($N110,OFFSET(選手情報!$A$6:$BD$119,AB110,0),56,FALSE)),"")</f>
        <v/>
      </c>
      <c r="AE110" s="127" t="str">
        <f ca="1">IF(AD110&lt;&gt;"",IF(ISNA(VLOOKUP($N110,OFFSET(選手情報!$A$6:$M$119,AD110,0),13,FALSE)),"","/"&amp;VLOOKUP($N110,OFFSET(選手情報!$A$6:$M$119,AD110,0),13,FALSE)),"")</f>
        <v/>
      </c>
      <c r="AF110" s="127" t="str">
        <f ca="1">IF(AD110&lt;&gt;"",IF(ISNA(VLOOKUP($N110,OFFSET(選手情報!$A$6:$BD$119,AD110,0),56,FALSE)),"",VLOOKUP($N110,OFFSET(選手情報!$A$6:$BD$119,AD110,0),56,FALSE)),"")</f>
        <v/>
      </c>
      <c r="AG110" s="127" t="str">
        <f ca="1">IF(AF110&lt;&gt;"",IF(ISNA(VLOOKUP($N110,OFFSET(選手情報!$A$6:$M$119,AF110,0),13,FALSE)),"","/"&amp;VLOOKUP($N110,OFFSET(選手情報!$A$6:$M$119,AF110,0),13,FALSE)),"")</f>
        <v/>
      </c>
      <c r="AH110" s="127" t="str">
        <f ca="1">IF(AF110&lt;&gt;"",IF(ISNA(VLOOKUP($N110,OFFSET(選手情報!$A$6:$BD$119,AF110,0),56,FALSE)),"",VLOOKUP($N110,OFFSET(選手情報!$A$6:$BD$119,AF110,0),56,FALSE)),"")</f>
        <v/>
      </c>
      <c r="AI110" s="127" t="str">
        <f ca="1">IF(AH110&lt;&gt;"",IF(ISNA(VLOOKUP($N110,OFFSET(選手情報!$A$6:$M$119,AH110,0),13,FALSE)),"","/"&amp;VLOOKUP($N110,OFFSET(選手情報!$A$6:$M$119,AH110,0),13,FALSE)),"")</f>
        <v/>
      </c>
      <c r="AJ110" s="127" t="str">
        <f ca="1">IF(AH110&lt;&gt;"",IF(ISNA(VLOOKUP($N110,OFFSET(選手情報!$A$6:$BD$119,AH110,0),56,FALSE)),"",VLOOKUP($N110,OFFSET(選手情報!$A$6:$BD$119,AH110,0),56,FALSE)),"")</f>
        <v/>
      </c>
      <c r="AK110" s="127" t="str">
        <f ca="1">IF(AJ110&lt;&gt;"",IF(ISNA(VLOOKUP($N110,OFFSET(選手情報!$A$6:$M$119,AJ110,0),13,FALSE)),"","/"&amp;VLOOKUP($N110,OFFSET(選手情報!$A$6:$M$119,AJ110,0),13,FALSE)),"")</f>
        <v/>
      </c>
      <c r="AL110" s="127" t="str">
        <f ca="1">IF(AJ110&lt;&gt;"",IF(ISNA(VLOOKUP($N110,OFFSET(選手情報!$A$6:$BD$119,AJ110,0),56,FALSE)),"",VLOOKUP($N110,OFFSET(選手情報!$A$6:$BD$119,AJ110,0),56,FALSE)),"")</f>
        <v/>
      </c>
      <c r="AM110" s="127" t="str">
        <f ca="1">IF(AL110&lt;&gt;"",IF(ISNA(VLOOKUP($N110,OFFSET(選手情報!$A$6:$M$119,AL110,0),13,FALSE)),"","/"&amp;VLOOKUP($N110,OFFSET(選手情報!$A$6:$M$119,AL110,0),13,FALSE)),"")</f>
        <v/>
      </c>
      <c r="AN110" s="127" t="str">
        <f ca="1">IF(AL110&lt;&gt;"",IF(ISNA(VLOOKUP($N110,OFFSET(選手情報!$A$6:$BD$119,AL110,0),56,FALSE)),"",VLOOKUP($N110,OFFSET(選手情報!$A$6:$BD$119,AL110,0),56,FALSE)),"")</f>
        <v/>
      </c>
      <c r="AO110" s="127" t="str">
        <f ca="1">IF(AN110&lt;&gt;"",IF(ISNA(VLOOKUP($N110,OFFSET(選手情報!$A$6:$M$119,AN110,0),13,FALSE)),"","/"&amp;VLOOKUP($N110,OFFSET(選手情報!$A$6:$M$119,AN110,0),13,FALSE)),"")</f>
        <v/>
      </c>
      <c r="AP110" s="127" t="str">
        <f ca="1">IF(AN110&lt;&gt;"",IF(ISNA(VLOOKUP($N110,OFFSET(選手情報!$A$6:$BD$119,AN110,0),56,FALSE)),"",VLOOKUP($N110,OFFSET(選手情報!$A$6:$BD$119,AN110,0),56,FALSE)),"")</f>
        <v/>
      </c>
      <c r="AQ110" s="127" t="str">
        <f ca="1">IF(AP110&lt;&gt;"",IF(ISNA(VLOOKUP($N110,OFFSET(選手情報!$A$6:$M$119,AP110,0),13,FALSE)),"","/"&amp;VLOOKUP($N110,OFFSET(選手情報!$A$6:$M$119,AP110,0),13,FALSE)),"")</f>
        <v/>
      </c>
      <c r="AR110" s="127" t="str">
        <f ca="1">IF(AP110&lt;&gt;"",IF(ISNA(VLOOKUP($N110,OFFSET(選手情報!$A$6:$BD$119,AP110,0),56,FALSE)),"",VLOOKUP($N110,OFFSET(選手情報!$A$6:$BD$119,AP110,0),56,FALSE)),"")</f>
        <v/>
      </c>
      <c r="AS110" s="127" t="str">
        <f ca="1">IF(AR110&lt;&gt;"",IF(ISNA(VLOOKUP($N110,OFFSET(選手情報!$A$6:$M$119,AR110,0),13,FALSE)),"","/"&amp;VLOOKUP($N110,OFFSET(選手情報!$A$6:$M$119,AR110,0),13,FALSE)),"")</f>
        <v/>
      </c>
      <c r="AT110" s="127" t="str">
        <f ca="1">IF(AR110&lt;&gt;"",IF(ISNA(VLOOKUP($N110,OFFSET(選手情報!$A$6:$BD$119,AR110,0),56,FALSE)),"",VLOOKUP($N110,OFFSET(選手情報!$A$6:$BD$119,AR110,0),56,FALSE)),"")</f>
        <v/>
      </c>
      <c r="AU110" s="127" t="str">
        <f ca="1">IF(AT110&lt;&gt;"",IF(ISNA(VLOOKUP($N110,OFFSET(選手情報!$A$6:$M$119,AT110,0),13,FALSE)),"","/"&amp;VLOOKUP($N110,OFFSET(選手情報!$A$6:$M$119,AT110,0),13,FALSE)),"")</f>
        <v/>
      </c>
      <c r="AV110" s="127" t="str">
        <f ca="1">IF(AT110&lt;&gt;"",IF(ISNA(VLOOKUP($N110,OFFSET(選手情報!$A$6:$BD$119,AT110,0),56,FALSE)),"",VLOOKUP($N110,OFFSET(選手情報!$A$6:$BD$119,AT110,0),56,FALSE)),"")</f>
        <v/>
      </c>
      <c r="AW110" s="127" t="str">
        <f ca="1">IF(AV110&lt;&gt;"",IF(ISNA(VLOOKUP($N110,OFFSET(選手情報!$A$6:$M$119,AV110,0),13,FALSE)),"","/"&amp;VLOOKUP($N110,OFFSET(選手情報!$A$6:$M$119,AV110,0),13,FALSE)),"")</f>
        <v/>
      </c>
      <c r="AX110" s="127" t="str">
        <f ca="1">IF(AV110&lt;&gt;"",IF(ISNA(VLOOKUP($N110,OFFSET(選手情報!$A$6:$BD$119,AV110,0),56,FALSE)),"",VLOOKUP($N110,OFFSET(選手情報!$A$6:$BD$119,AV110,0),56,FALSE)),"")</f>
        <v/>
      </c>
      <c r="AY110" s="127" t="str">
        <f ca="1">IF(AX110&lt;&gt;"",IF(ISNA(VLOOKUP($N110,OFFSET(選手情報!$A$6:$M$119,AX110,0),13,FALSE)),"","/"&amp;VLOOKUP($N110,OFFSET(選手情報!$A$6:$M$119,AX110,0),13,FALSE)),"")</f>
        <v/>
      </c>
      <c r="AZ110" s="127" t="str">
        <f ca="1">IF(AX110&lt;&gt;"",IF(ISNA(VLOOKUP($N110,OFFSET(選手情報!$A$6:$BD$119,AX110,0),56,FALSE)),"",VLOOKUP($N110,OFFSET(選手情報!$A$6:$BD$119,AX110,0),56,FALSE)),"")</f>
        <v/>
      </c>
      <c r="BA110" s="127" t="str">
        <f ca="1">IF(AZ110&lt;&gt;"",IF(ISNA(VLOOKUP($N110,OFFSET(選手情報!$A$6:$M$119,AZ110,0),13,FALSE)),"","/"&amp;VLOOKUP($N110,OFFSET(選手情報!$A$6:$M$119,AZ110,0),13,FALSE)),"")</f>
        <v/>
      </c>
      <c r="BB110" s="127" t="str">
        <f ca="1">IF(AZ110&lt;&gt;"",IF(ISNA(VLOOKUP($N110,OFFSET(選手情報!$A$6:$BD$119,AZ110,0),56,FALSE)),"",VLOOKUP($N110,OFFSET(選手情報!$A$6:$BD$119,AZ110,0),56,FALSE)),"")</f>
        <v/>
      </c>
      <c r="BC110" s="127" t="str">
        <f ca="1">IF(BB110&lt;&gt;"",IF(ISNA(VLOOKUP($N110,OFFSET(選手情報!$A$6:$M$119,BB110,0),13,FALSE)),"","/"&amp;VLOOKUP($N110,OFFSET(選手情報!$A$6:$M$119,BB110,0),13,FALSE)),"")</f>
        <v/>
      </c>
      <c r="BD110" s="127" t="str">
        <f ca="1">IF(BB110&lt;&gt;"",IF(ISNA(VLOOKUP($N110,OFFSET(選手情報!$A$6:$BD$119,BB110,0),56,FALSE)),"",VLOOKUP($N110,OFFSET(選手情報!$A$6:$BD$119,BB110,0),56,FALSE)),"")</f>
        <v/>
      </c>
      <c r="BE110" s="127" t="str">
        <f ca="1">IF(BD110&lt;&gt;"",IF(ISNA(VLOOKUP($N110,OFFSET(選手情報!$A$6:$M$119,BD110,0),13,FALSE)),"","/"&amp;VLOOKUP($N110,OFFSET(選手情報!$A$6:$M$119,BD110,0),13,FALSE)),"")</f>
        <v/>
      </c>
      <c r="BF110" s="127" t="str">
        <f ca="1">IF(BD110&lt;&gt;"",IF(ISNA(VLOOKUP($N110,OFFSET(選手情報!$A$6:$BD$119,BD110,0),56,FALSE)),"",VLOOKUP($N110,OFFSET(選手情報!$A$6:$BD$119,BD110,0),56,FALSE)),"")</f>
        <v/>
      </c>
      <c r="BG110" s="127" t="str">
        <f ca="1">IF(BF110&lt;&gt;"",IF(ISNA(VLOOKUP($N110,OFFSET(選手情報!$A$6:$M$119,BF110,0),13,FALSE)),"","/"&amp;VLOOKUP($N110,OFFSET(選手情報!$A$6:$M$119,BF110,0),13,FALSE)),"")</f>
        <v/>
      </c>
      <c r="BH110" s="127" t="str">
        <f ca="1">IF(BF110&lt;&gt;"",IF(ISNA(VLOOKUP($N110,OFFSET(選手情報!$A$6:$BD$119,BF110,0),56,FALSE)),"",VLOOKUP($N110,OFFSET(選手情報!$A$6:$BD$119,BF110,0),56,FALSE)),"")</f>
        <v/>
      </c>
      <c r="BI110" s="127" t="str">
        <f ca="1">IF(BH110&lt;&gt;"",IF(ISNA(VLOOKUP($N110,OFFSET(選手情報!$A$6:$M$119,BH110,0),13,FALSE)),"","/"&amp;VLOOKUP($N110,OFFSET(選手情報!$A$6:$M$119,BH110,0),13,FALSE)),"")</f>
        <v/>
      </c>
    </row>
    <row r="111" spans="1:62" s="127" customFormat="1" ht="12.6" customHeight="1">
      <c r="A111" s="128" t="str">
        <f>IF(ISNA(VLOOKUP($C$2&amp;N111,選手データ!A:H,3,FALSE)),"",IF(M111&lt;&gt;M110,VLOOKUP($C$2&amp;N111,選手データ!A:H,3,FALSE),""))</f>
        <v/>
      </c>
      <c r="B111" s="129" t="str">
        <f>IF(A111&lt;&gt;"",VLOOKUP($C$2&amp;N111,選手データ!A:H,4,FALSE),"")</f>
        <v/>
      </c>
      <c r="C111" s="129" t="str">
        <f>IF(A111&lt;&gt;"",VLOOKUP($C$2&amp;N111,選手データ!A:H,5,FALSE),"")</f>
        <v/>
      </c>
      <c r="D111" s="129" t="str">
        <f>IF(A111&lt;&gt;"",VLOOKUP($C$2&amp;N111,選手データ!A:H,6,FALSE),"")</f>
        <v/>
      </c>
      <c r="E111" s="129" t="str">
        <f>IF(A111&lt;&gt;"",VLOOKUP($C$2&amp;N111,選手データ!A:H,7,FALSE),"")</f>
        <v/>
      </c>
      <c r="F111" s="130" t="str">
        <f>IF(A111&lt;&gt;"",VLOOKUP($C$2&amp;N111,選手データ!A:H,8,FALSE),"")</f>
        <v/>
      </c>
      <c r="G111" s="130" t="str">
        <f>IF(F111&lt;&gt;"",IF(DATEDIF(F111,設定!$B$12,"Y")&lt;20,"〇",""),"")</f>
        <v/>
      </c>
      <c r="H111" s="131" t="str">
        <f t="shared" ca="1" si="13"/>
        <v/>
      </c>
      <c r="I111" s="132" t="str">
        <f t="shared" ca="1" si="14"/>
        <v/>
      </c>
      <c r="J111" s="131" t="str">
        <f t="shared" ca="1" si="15"/>
        <v/>
      </c>
      <c r="K111" s="130" t="str">
        <f>IF(A111&lt;&gt;"",IF(COUNTIF(リレーチーム情報!$B$17:$B$22,A111&amp;E111)=1,"〇",""),"")</f>
        <v/>
      </c>
      <c r="L111" s="133" t="str">
        <f>IF(A111&lt;&gt;"",IF(COUNTIF(リレーチーム情報!$B$23:$B$28,A111&amp;E111)=1,"〇",""),"")</f>
        <v/>
      </c>
      <c r="M111" s="127">
        <f>IF(学校情報!$A$4&lt;&gt;"",0,IF(S110=0,MAX($M$109:M110)+1,M110))</f>
        <v>0</v>
      </c>
      <c r="N111" s="127" t="str">
        <f>IF(M111&lt;&gt;0,VLOOKUP(M111,選手情報!BI:BJ,2,FALSE),"")</f>
        <v/>
      </c>
      <c r="O111" s="127" t="str">
        <f ca="1">IF(M111&lt;&gt;0,VLOOKUP(N111,OFFSET(選手情報!$A$6:$W$119,IF(M111&lt;&gt;M110,0,R110),0),13,FALSE),"")</f>
        <v/>
      </c>
      <c r="P111" s="127" t="str">
        <f ca="1">IF(M111&lt;&gt;0,VLOOKUP(N111,OFFSET(選手情報!$A$6:$W$119,IF(M111&lt;&gt;M110,0,R110),0),16,FALSE),"")</f>
        <v/>
      </c>
      <c r="Q111" s="127" t="str">
        <f ca="1">IF(M111&lt;&gt;0,VLOOKUP(N111,OFFSET(選手情報!$A$6:$W$119,IF(M111&lt;&gt;M110,0,R110),0),21,FALSE),"")</f>
        <v/>
      </c>
      <c r="R111" s="127">
        <f ca="1">IF(M111&lt;&gt;0,VLOOKUP(N111,OFFSET(選手情報!$A$6:$BD$119,IF(M111&lt;&gt;M110,0,R110),0),56,FALSE),0)</f>
        <v>0</v>
      </c>
      <c r="S111" s="127">
        <f ca="1">IF(M111&lt;&gt;0,IF(ISNA(R111),0,COUNTIF(OFFSET(選手情報!$A$6:$A$119,R111,0),N111)),0)</f>
        <v>0</v>
      </c>
      <c r="U111" s="127">
        <f t="shared" si="16"/>
        <v>0</v>
      </c>
      <c r="V111" s="127">
        <f t="shared" ca="1" si="17"/>
        <v>1</v>
      </c>
      <c r="W111" s="127">
        <f t="shared" ca="1" si="12"/>
        <v>0</v>
      </c>
      <c r="X111" s="127" t="str">
        <f t="shared" ca="1" si="18"/>
        <v/>
      </c>
      <c r="Y111" s="127" t="str">
        <f>IF($A111&lt;&gt;"",IF(ISNA(VLOOKUP($N111,選手情報!$A$6:$M$119,13,FALSE)),"","/"&amp;VLOOKUP($N111,選手情報!$A$6:$M$119,13,FALSE)),"")</f>
        <v/>
      </c>
      <c r="Z111" s="127" t="str">
        <f ca="1">IF(Y111&lt;&gt;"",IF(ISNA(VLOOKUP($N111,OFFSET(選手情報!$A$6:$BD$119,0,0),56,FALSE)),"",VLOOKUP($N111,OFFSET(選手情報!$A$6:$BD$119,0,0),56,FALSE)),"")</f>
        <v/>
      </c>
      <c r="AA111" s="127" t="str">
        <f ca="1">IF(Z111&lt;&gt;"",IF(ISNA(VLOOKUP($N111,OFFSET(選手情報!$A$6:$M$119,Z111,0),13,FALSE)),"","/"&amp;VLOOKUP($N111,OFFSET(選手情報!$A$6:$M$119,Z111,0),13,FALSE)),"")</f>
        <v/>
      </c>
      <c r="AB111" s="127" t="str">
        <f ca="1">IF(Z111&lt;&gt;"",IF(ISNA(VLOOKUP($N111,OFFSET(選手情報!$A$6:$BD$119,Z111,0),56,FALSE)),"",VLOOKUP($N111,OFFSET(選手情報!$A$6:$BD$119,Z111,0),56,FALSE)),"")</f>
        <v/>
      </c>
      <c r="AC111" s="127" t="str">
        <f ca="1">IF(AB111&lt;&gt;"",IF(ISNA(VLOOKUP($N111,OFFSET(選手情報!$A$6:$M$119,AB111,0),13,FALSE)),"","/"&amp;VLOOKUP($N111,OFFSET(選手情報!$A$6:$M$119,AB111,0),13,FALSE)),"")</f>
        <v/>
      </c>
      <c r="AD111" s="127" t="str">
        <f ca="1">IF(AB111&lt;&gt;"",IF(ISNA(VLOOKUP($N111,OFFSET(選手情報!$A$6:$BD$119,AB111,0),56,FALSE)),"",VLOOKUP($N111,OFFSET(選手情報!$A$6:$BD$119,AB111,0),56,FALSE)),"")</f>
        <v/>
      </c>
      <c r="AE111" s="127" t="str">
        <f ca="1">IF(AD111&lt;&gt;"",IF(ISNA(VLOOKUP($N111,OFFSET(選手情報!$A$6:$M$119,AD111,0),13,FALSE)),"","/"&amp;VLOOKUP($N111,OFFSET(選手情報!$A$6:$M$119,AD111,0),13,FALSE)),"")</f>
        <v/>
      </c>
      <c r="AF111" s="127" t="str">
        <f ca="1">IF(AD111&lt;&gt;"",IF(ISNA(VLOOKUP($N111,OFFSET(選手情報!$A$6:$BD$119,AD111,0),56,FALSE)),"",VLOOKUP($N111,OFFSET(選手情報!$A$6:$BD$119,AD111,0),56,FALSE)),"")</f>
        <v/>
      </c>
      <c r="AG111" s="127" t="str">
        <f ca="1">IF(AF111&lt;&gt;"",IF(ISNA(VLOOKUP($N111,OFFSET(選手情報!$A$6:$M$119,AF111,0),13,FALSE)),"","/"&amp;VLOOKUP($N111,OFFSET(選手情報!$A$6:$M$119,AF111,0),13,FALSE)),"")</f>
        <v/>
      </c>
      <c r="AH111" s="127" t="str">
        <f ca="1">IF(AF111&lt;&gt;"",IF(ISNA(VLOOKUP($N111,OFFSET(選手情報!$A$6:$BD$119,AF111,0),56,FALSE)),"",VLOOKUP($N111,OFFSET(選手情報!$A$6:$BD$119,AF111,0),56,FALSE)),"")</f>
        <v/>
      </c>
      <c r="AI111" s="127" t="str">
        <f ca="1">IF(AH111&lt;&gt;"",IF(ISNA(VLOOKUP($N111,OFFSET(選手情報!$A$6:$M$119,AH111,0),13,FALSE)),"","/"&amp;VLOOKUP($N111,OFFSET(選手情報!$A$6:$M$119,AH111,0),13,FALSE)),"")</f>
        <v/>
      </c>
      <c r="AJ111" s="127" t="str">
        <f ca="1">IF(AH111&lt;&gt;"",IF(ISNA(VLOOKUP($N111,OFFSET(選手情報!$A$6:$BD$119,AH111,0),56,FALSE)),"",VLOOKUP($N111,OFFSET(選手情報!$A$6:$BD$119,AH111,0),56,FALSE)),"")</f>
        <v/>
      </c>
      <c r="AK111" s="127" t="str">
        <f ca="1">IF(AJ111&lt;&gt;"",IF(ISNA(VLOOKUP($N111,OFFSET(選手情報!$A$6:$M$119,AJ111,0),13,FALSE)),"","/"&amp;VLOOKUP($N111,OFFSET(選手情報!$A$6:$M$119,AJ111,0),13,FALSE)),"")</f>
        <v/>
      </c>
      <c r="AL111" s="127" t="str">
        <f ca="1">IF(AJ111&lt;&gt;"",IF(ISNA(VLOOKUP($N111,OFFSET(選手情報!$A$6:$BD$119,AJ111,0),56,FALSE)),"",VLOOKUP($N111,OFFSET(選手情報!$A$6:$BD$119,AJ111,0),56,FALSE)),"")</f>
        <v/>
      </c>
      <c r="AM111" s="127" t="str">
        <f ca="1">IF(AL111&lt;&gt;"",IF(ISNA(VLOOKUP($N111,OFFSET(選手情報!$A$6:$M$119,AL111,0),13,FALSE)),"","/"&amp;VLOOKUP($N111,OFFSET(選手情報!$A$6:$M$119,AL111,0),13,FALSE)),"")</f>
        <v/>
      </c>
      <c r="AN111" s="127" t="str">
        <f ca="1">IF(AL111&lt;&gt;"",IF(ISNA(VLOOKUP($N111,OFFSET(選手情報!$A$6:$BD$119,AL111,0),56,FALSE)),"",VLOOKUP($N111,OFFSET(選手情報!$A$6:$BD$119,AL111,0),56,FALSE)),"")</f>
        <v/>
      </c>
      <c r="AO111" s="127" t="str">
        <f ca="1">IF(AN111&lt;&gt;"",IF(ISNA(VLOOKUP($N111,OFFSET(選手情報!$A$6:$M$119,AN111,0),13,FALSE)),"","/"&amp;VLOOKUP($N111,OFFSET(選手情報!$A$6:$M$119,AN111,0),13,FALSE)),"")</f>
        <v/>
      </c>
      <c r="AP111" s="127" t="str">
        <f ca="1">IF(AN111&lt;&gt;"",IF(ISNA(VLOOKUP($N111,OFFSET(選手情報!$A$6:$BD$119,AN111,0),56,FALSE)),"",VLOOKUP($N111,OFFSET(選手情報!$A$6:$BD$119,AN111,0),56,FALSE)),"")</f>
        <v/>
      </c>
      <c r="AQ111" s="127" t="str">
        <f ca="1">IF(AP111&lt;&gt;"",IF(ISNA(VLOOKUP($N111,OFFSET(選手情報!$A$6:$M$119,AP111,0),13,FALSE)),"","/"&amp;VLOOKUP($N111,OFFSET(選手情報!$A$6:$M$119,AP111,0),13,FALSE)),"")</f>
        <v/>
      </c>
      <c r="AR111" s="127" t="str">
        <f ca="1">IF(AP111&lt;&gt;"",IF(ISNA(VLOOKUP($N111,OFFSET(選手情報!$A$6:$BD$119,AP111,0),56,FALSE)),"",VLOOKUP($N111,OFFSET(選手情報!$A$6:$BD$119,AP111,0),56,FALSE)),"")</f>
        <v/>
      </c>
      <c r="AS111" s="127" t="str">
        <f ca="1">IF(AR111&lt;&gt;"",IF(ISNA(VLOOKUP($N111,OFFSET(選手情報!$A$6:$M$119,AR111,0),13,FALSE)),"","/"&amp;VLOOKUP($N111,OFFSET(選手情報!$A$6:$M$119,AR111,0),13,FALSE)),"")</f>
        <v/>
      </c>
      <c r="AT111" s="127" t="str">
        <f ca="1">IF(AR111&lt;&gt;"",IF(ISNA(VLOOKUP($N111,OFFSET(選手情報!$A$6:$BD$119,AR111,0),56,FALSE)),"",VLOOKUP($N111,OFFSET(選手情報!$A$6:$BD$119,AR111,0),56,FALSE)),"")</f>
        <v/>
      </c>
      <c r="AU111" s="127" t="str">
        <f ca="1">IF(AT111&lt;&gt;"",IF(ISNA(VLOOKUP($N111,OFFSET(選手情報!$A$6:$M$119,AT111,0),13,FALSE)),"","/"&amp;VLOOKUP($N111,OFFSET(選手情報!$A$6:$M$119,AT111,0),13,FALSE)),"")</f>
        <v/>
      </c>
      <c r="AV111" s="127" t="str">
        <f ca="1">IF(AT111&lt;&gt;"",IF(ISNA(VLOOKUP($N111,OFFSET(選手情報!$A$6:$BD$119,AT111,0),56,FALSE)),"",VLOOKUP($N111,OFFSET(選手情報!$A$6:$BD$119,AT111,0),56,FALSE)),"")</f>
        <v/>
      </c>
      <c r="AW111" s="127" t="str">
        <f ca="1">IF(AV111&lt;&gt;"",IF(ISNA(VLOOKUP($N111,OFFSET(選手情報!$A$6:$M$119,AV111,0),13,FALSE)),"","/"&amp;VLOOKUP($N111,OFFSET(選手情報!$A$6:$M$119,AV111,0),13,FALSE)),"")</f>
        <v/>
      </c>
      <c r="AX111" s="127" t="str">
        <f ca="1">IF(AV111&lt;&gt;"",IF(ISNA(VLOOKUP($N111,OFFSET(選手情報!$A$6:$BD$119,AV111,0),56,FALSE)),"",VLOOKUP($N111,OFFSET(選手情報!$A$6:$BD$119,AV111,0),56,FALSE)),"")</f>
        <v/>
      </c>
      <c r="AY111" s="127" t="str">
        <f ca="1">IF(AX111&lt;&gt;"",IF(ISNA(VLOOKUP($N111,OFFSET(選手情報!$A$6:$M$119,AX111,0),13,FALSE)),"","/"&amp;VLOOKUP($N111,OFFSET(選手情報!$A$6:$M$119,AX111,0),13,FALSE)),"")</f>
        <v/>
      </c>
      <c r="AZ111" s="127" t="str">
        <f ca="1">IF(AX111&lt;&gt;"",IF(ISNA(VLOOKUP($N111,OFFSET(選手情報!$A$6:$BD$119,AX111,0),56,FALSE)),"",VLOOKUP($N111,OFFSET(選手情報!$A$6:$BD$119,AX111,0),56,FALSE)),"")</f>
        <v/>
      </c>
      <c r="BA111" s="127" t="str">
        <f ca="1">IF(AZ111&lt;&gt;"",IF(ISNA(VLOOKUP($N111,OFFSET(選手情報!$A$6:$M$119,AZ111,0),13,FALSE)),"","/"&amp;VLOOKUP($N111,OFFSET(選手情報!$A$6:$M$119,AZ111,0),13,FALSE)),"")</f>
        <v/>
      </c>
      <c r="BB111" s="127" t="str">
        <f ca="1">IF(AZ111&lt;&gt;"",IF(ISNA(VLOOKUP($N111,OFFSET(選手情報!$A$6:$BD$119,AZ111,0),56,FALSE)),"",VLOOKUP($N111,OFFSET(選手情報!$A$6:$BD$119,AZ111,0),56,FALSE)),"")</f>
        <v/>
      </c>
      <c r="BC111" s="127" t="str">
        <f ca="1">IF(BB111&lt;&gt;"",IF(ISNA(VLOOKUP($N111,OFFSET(選手情報!$A$6:$M$119,BB111,0),13,FALSE)),"","/"&amp;VLOOKUP($N111,OFFSET(選手情報!$A$6:$M$119,BB111,0),13,FALSE)),"")</f>
        <v/>
      </c>
      <c r="BD111" s="127" t="str">
        <f ca="1">IF(BB111&lt;&gt;"",IF(ISNA(VLOOKUP($N111,OFFSET(選手情報!$A$6:$BD$119,BB111,0),56,FALSE)),"",VLOOKUP($N111,OFFSET(選手情報!$A$6:$BD$119,BB111,0),56,FALSE)),"")</f>
        <v/>
      </c>
      <c r="BE111" s="127" t="str">
        <f ca="1">IF(BD111&lt;&gt;"",IF(ISNA(VLOOKUP($N111,OFFSET(選手情報!$A$6:$M$119,BD111,0),13,FALSE)),"","/"&amp;VLOOKUP($N111,OFFSET(選手情報!$A$6:$M$119,BD111,0),13,FALSE)),"")</f>
        <v/>
      </c>
      <c r="BF111" s="127" t="str">
        <f ca="1">IF(BD111&lt;&gt;"",IF(ISNA(VLOOKUP($N111,OFFSET(選手情報!$A$6:$BD$119,BD111,0),56,FALSE)),"",VLOOKUP($N111,OFFSET(選手情報!$A$6:$BD$119,BD111,0),56,FALSE)),"")</f>
        <v/>
      </c>
      <c r="BG111" s="127" t="str">
        <f ca="1">IF(BF111&lt;&gt;"",IF(ISNA(VLOOKUP($N111,OFFSET(選手情報!$A$6:$M$119,BF111,0),13,FALSE)),"","/"&amp;VLOOKUP($N111,OFFSET(選手情報!$A$6:$M$119,BF111,0),13,FALSE)),"")</f>
        <v/>
      </c>
      <c r="BH111" s="127" t="str">
        <f ca="1">IF(BF111&lt;&gt;"",IF(ISNA(VLOOKUP($N111,OFFSET(選手情報!$A$6:$BD$119,BF111,0),56,FALSE)),"",VLOOKUP($N111,OFFSET(選手情報!$A$6:$BD$119,BF111,0),56,FALSE)),"")</f>
        <v/>
      </c>
      <c r="BI111" s="127" t="str">
        <f ca="1">IF(BH111&lt;&gt;"",IF(ISNA(VLOOKUP($N111,OFFSET(選手情報!$A$6:$M$119,BH111,0),13,FALSE)),"","/"&amp;VLOOKUP($N111,OFFSET(選手情報!$A$6:$M$119,BH111,0),13,FALSE)),"")</f>
        <v/>
      </c>
    </row>
    <row r="112" spans="1:62" s="127" customFormat="1" ht="12.6" customHeight="1">
      <c r="A112" s="128" t="str">
        <f>IF(ISNA(VLOOKUP($C$2&amp;N112,選手データ!A:H,3,FALSE)),"",IF(M112&lt;&gt;M111,VLOOKUP($C$2&amp;N112,選手データ!A:H,3,FALSE),""))</f>
        <v/>
      </c>
      <c r="B112" s="129" t="str">
        <f>IF(A112&lt;&gt;"",VLOOKUP($C$2&amp;N112,選手データ!A:H,4,FALSE),"")</f>
        <v/>
      </c>
      <c r="C112" s="129" t="str">
        <f>IF(A112&lt;&gt;"",VLOOKUP($C$2&amp;N112,選手データ!A:H,5,FALSE),"")</f>
        <v/>
      </c>
      <c r="D112" s="129" t="str">
        <f>IF(A112&lt;&gt;"",VLOOKUP($C$2&amp;N112,選手データ!A:H,6,FALSE),"")</f>
        <v/>
      </c>
      <c r="E112" s="129" t="str">
        <f>IF(A112&lt;&gt;"",VLOOKUP($C$2&amp;N112,選手データ!A:H,7,FALSE),"")</f>
        <v/>
      </c>
      <c r="F112" s="130" t="str">
        <f>IF(A112&lt;&gt;"",VLOOKUP($C$2&amp;N112,選手データ!A:H,8,FALSE),"")</f>
        <v/>
      </c>
      <c r="G112" s="130" t="str">
        <f>IF(F112&lt;&gt;"",IF(DATEDIF(F112,設定!$B$12,"Y")&lt;20,"〇",""),"")</f>
        <v/>
      </c>
      <c r="H112" s="131" t="str">
        <f t="shared" ca="1" si="13"/>
        <v/>
      </c>
      <c r="I112" s="132" t="str">
        <f t="shared" ca="1" si="14"/>
        <v/>
      </c>
      <c r="J112" s="131" t="str">
        <f t="shared" ca="1" si="15"/>
        <v/>
      </c>
      <c r="K112" s="130" t="str">
        <f>IF(A112&lt;&gt;"",IF(COUNTIF(リレーチーム情報!$B$17:$B$22,A112&amp;E112)=1,"〇",""),"")</f>
        <v/>
      </c>
      <c r="L112" s="133" t="str">
        <f>IF(A112&lt;&gt;"",IF(COUNTIF(リレーチーム情報!$B$23:$B$28,A112&amp;E112)=1,"〇",""),"")</f>
        <v/>
      </c>
      <c r="M112" s="127">
        <f>IF(学校情報!$A$4&lt;&gt;"",0,IF(S111=0,MAX($M$109:M111)+1,M111))</f>
        <v>0</v>
      </c>
      <c r="N112" s="127" t="str">
        <f>IF(M112&lt;&gt;0,VLOOKUP(M112,選手情報!BI:BJ,2,FALSE),"")</f>
        <v/>
      </c>
      <c r="O112" s="127" t="str">
        <f ca="1">IF(M112&lt;&gt;0,VLOOKUP(N112,OFFSET(選手情報!$A$6:$W$119,IF(M112&lt;&gt;M111,0,R111),0),13,FALSE),"")</f>
        <v/>
      </c>
      <c r="P112" s="127" t="str">
        <f ca="1">IF(M112&lt;&gt;0,VLOOKUP(N112,OFFSET(選手情報!$A$6:$W$119,IF(M112&lt;&gt;M111,0,R111),0),16,FALSE),"")</f>
        <v/>
      </c>
      <c r="Q112" s="127" t="str">
        <f ca="1">IF(M112&lt;&gt;0,VLOOKUP(N112,OFFSET(選手情報!$A$6:$W$119,IF(M112&lt;&gt;M111,0,R111),0),21,FALSE),"")</f>
        <v/>
      </c>
      <c r="R112" s="127">
        <f ca="1">IF(M112&lt;&gt;0,VLOOKUP(N112,OFFSET(選手情報!$A$6:$BD$119,IF(M112&lt;&gt;M111,0,R111),0),56,FALSE),0)</f>
        <v>0</v>
      </c>
      <c r="S112" s="127">
        <f ca="1">IF(M112&lt;&gt;0,IF(ISNA(R112),0,COUNTIF(OFFSET(選手情報!$A$6:$A$119,R112,0),N112)),0)</f>
        <v>0</v>
      </c>
      <c r="U112" s="127">
        <f t="shared" si="16"/>
        <v>0</v>
      </c>
      <c r="V112" s="127">
        <f t="shared" ca="1" si="17"/>
        <v>1</v>
      </c>
      <c r="W112" s="127">
        <f t="shared" ca="1" si="12"/>
        <v>0</v>
      </c>
      <c r="X112" s="127" t="str">
        <f t="shared" ca="1" si="18"/>
        <v/>
      </c>
      <c r="Y112" s="127" t="str">
        <f>IF($A112&lt;&gt;"",IF(ISNA(VLOOKUP($N112,選手情報!$A$6:$M$119,13,FALSE)),"","/"&amp;VLOOKUP($N112,選手情報!$A$6:$M$119,13,FALSE)),"")</f>
        <v/>
      </c>
      <c r="Z112" s="127" t="str">
        <f ca="1">IF(Y112&lt;&gt;"",IF(ISNA(VLOOKUP($N112,OFFSET(選手情報!$A$6:$BD$119,0,0),56,FALSE)),"",VLOOKUP($N112,OFFSET(選手情報!$A$6:$BD$119,0,0),56,FALSE)),"")</f>
        <v/>
      </c>
      <c r="AA112" s="127" t="str">
        <f ca="1">IF(Z112&lt;&gt;"",IF(ISNA(VLOOKUP($N112,OFFSET(選手情報!$A$6:$M$119,Z112,0),13,FALSE)),"","/"&amp;VLOOKUP($N112,OFFSET(選手情報!$A$6:$M$119,Z112,0),13,FALSE)),"")</f>
        <v/>
      </c>
      <c r="AB112" s="127" t="str">
        <f ca="1">IF(Z112&lt;&gt;"",IF(ISNA(VLOOKUP($N112,OFFSET(選手情報!$A$6:$BD$119,Z112,0),56,FALSE)),"",VLOOKUP($N112,OFFSET(選手情報!$A$6:$BD$119,Z112,0),56,FALSE)),"")</f>
        <v/>
      </c>
      <c r="AC112" s="127" t="str">
        <f ca="1">IF(AB112&lt;&gt;"",IF(ISNA(VLOOKUP($N112,OFFSET(選手情報!$A$6:$M$119,AB112,0),13,FALSE)),"","/"&amp;VLOOKUP($N112,OFFSET(選手情報!$A$6:$M$119,AB112,0),13,FALSE)),"")</f>
        <v/>
      </c>
      <c r="AD112" s="127" t="str">
        <f ca="1">IF(AB112&lt;&gt;"",IF(ISNA(VLOOKUP($N112,OFFSET(選手情報!$A$6:$BD$119,AB112,0),56,FALSE)),"",VLOOKUP($N112,OFFSET(選手情報!$A$6:$BD$119,AB112,0),56,FALSE)),"")</f>
        <v/>
      </c>
      <c r="AE112" s="127" t="str">
        <f ca="1">IF(AD112&lt;&gt;"",IF(ISNA(VLOOKUP($N112,OFFSET(選手情報!$A$6:$M$119,AD112,0),13,FALSE)),"","/"&amp;VLOOKUP($N112,OFFSET(選手情報!$A$6:$M$119,AD112,0),13,FALSE)),"")</f>
        <v/>
      </c>
      <c r="AF112" s="127" t="str">
        <f ca="1">IF(AD112&lt;&gt;"",IF(ISNA(VLOOKUP($N112,OFFSET(選手情報!$A$6:$BD$119,AD112,0),56,FALSE)),"",VLOOKUP($N112,OFFSET(選手情報!$A$6:$BD$119,AD112,0),56,FALSE)),"")</f>
        <v/>
      </c>
      <c r="AG112" s="127" t="str">
        <f ca="1">IF(AF112&lt;&gt;"",IF(ISNA(VLOOKUP($N112,OFFSET(選手情報!$A$6:$M$119,AF112,0),13,FALSE)),"","/"&amp;VLOOKUP($N112,OFFSET(選手情報!$A$6:$M$119,AF112,0),13,FALSE)),"")</f>
        <v/>
      </c>
      <c r="AH112" s="127" t="str">
        <f ca="1">IF(AF112&lt;&gt;"",IF(ISNA(VLOOKUP($N112,OFFSET(選手情報!$A$6:$BD$119,AF112,0),56,FALSE)),"",VLOOKUP($N112,OFFSET(選手情報!$A$6:$BD$119,AF112,0),56,FALSE)),"")</f>
        <v/>
      </c>
      <c r="AI112" s="127" t="str">
        <f ca="1">IF(AH112&lt;&gt;"",IF(ISNA(VLOOKUP($N112,OFFSET(選手情報!$A$6:$M$119,AH112,0),13,FALSE)),"","/"&amp;VLOOKUP($N112,OFFSET(選手情報!$A$6:$M$119,AH112,0),13,FALSE)),"")</f>
        <v/>
      </c>
      <c r="AJ112" s="127" t="str">
        <f ca="1">IF(AH112&lt;&gt;"",IF(ISNA(VLOOKUP($N112,OFFSET(選手情報!$A$6:$BD$119,AH112,0),56,FALSE)),"",VLOOKUP($N112,OFFSET(選手情報!$A$6:$BD$119,AH112,0),56,FALSE)),"")</f>
        <v/>
      </c>
      <c r="AK112" s="127" t="str">
        <f ca="1">IF(AJ112&lt;&gt;"",IF(ISNA(VLOOKUP($N112,OFFSET(選手情報!$A$6:$M$119,AJ112,0),13,FALSE)),"","/"&amp;VLOOKUP($N112,OFFSET(選手情報!$A$6:$M$119,AJ112,0),13,FALSE)),"")</f>
        <v/>
      </c>
      <c r="AL112" s="127" t="str">
        <f ca="1">IF(AJ112&lt;&gt;"",IF(ISNA(VLOOKUP($N112,OFFSET(選手情報!$A$6:$BD$119,AJ112,0),56,FALSE)),"",VLOOKUP($N112,OFFSET(選手情報!$A$6:$BD$119,AJ112,0),56,FALSE)),"")</f>
        <v/>
      </c>
      <c r="AM112" s="127" t="str">
        <f ca="1">IF(AL112&lt;&gt;"",IF(ISNA(VLOOKUP($N112,OFFSET(選手情報!$A$6:$M$119,AL112,0),13,FALSE)),"","/"&amp;VLOOKUP($N112,OFFSET(選手情報!$A$6:$M$119,AL112,0),13,FALSE)),"")</f>
        <v/>
      </c>
      <c r="AN112" s="127" t="str">
        <f ca="1">IF(AL112&lt;&gt;"",IF(ISNA(VLOOKUP($N112,OFFSET(選手情報!$A$6:$BD$119,AL112,0),56,FALSE)),"",VLOOKUP($N112,OFFSET(選手情報!$A$6:$BD$119,AL112,0),56,FALSE)),"")</f>
        <v/>
      </c>
      <c r="AO112" s="127" t="str">
        <f ca="1">IF(AN112&lt;&gt;"",IF(ISNA(VLOOKUP($N112,OFFSET(選手情報!$A$6:$M$119,AN112,0),13,FALSE)),"","/"&amp;VLOOKUP($N112,OFFSET(選手情報!$A$6:$M$119,AN112,0),13,FALSE)),"")</f>
        <v/>
      </c>
      <c r="AP112" s="127" t="str">
        <f ca="1">IF(AN112&lt;&gt;"",IF(ISNA(VLOOKUP($N112,OFFSET(選手情報!$A$6:$BD$119,AN112,0),56,FALSE)),"",VLOOKUP($N112,OFFSET(選手情報!$A$6:$BD$119,AN112,0),56,FALSE)),"")</f>
        <v/>
      </c>
      <c r="AQ112" s="127" t="str">
        <f ca="1">IF(AP112&lt;&gt;"",IF(ISNA(VLOOKUP($N112,OFFSET(選手情報!$A$6:$M$119,AP112,0),13,FALSE)),"","/"&amp;VLOOKUP($N112,OFFSET(選手情報!$A$6:$M$119,AP112,0),13,FALSE)),"")</f>
        <v/>
      </c>
      <c r="AR112" s="127" t="str">
        <f ca="1">IF(AP112&lt;&gt;"",IF(ISNA(VLOOKUP($N112,OFFSET(選手情報!$A$6:$BD$119,AP112,0),56,FALSE)),"",VLOOKUP($N112,OFFSET(選手情報!$A$6:$BD$119,AP112,0),56,FALSE)),"")</f>
        <v/>
      </c>
      <c r="AS112" s="127" t="str">
        <f ca="1">IF(AR112&lt;&gt;"",IF(ISNA(VLOOKUP($N112,OFFSET(選手情報!$A$6:$M$119,AR112,0),13,FALSE)),"","/"&amp;VLOOKUP($N112,OFFSET(選手情報!$A$6:$M$119,AR112,0),13,FALSE)),"")</f>
        <v/>
      </c>
      <c r="AT112" s="127" t="str">
        <f ca="1">IF(AR112&lt;&gt;"",IF(ISNA(VLOOKUP($N112,OFFSET(選手情報!$A$6:$BD$119,AR112,0),56,FALSE)),"",VLOOKUP($N112,OFFSET(選手情報!$A$6:$BD$119,AR112,0),56,FALSE)),"")</f>
        <v/>
      </c>
      <c r="AU112" s="127" t="str">
        <f ca="1">IF(AT112&lt;&gt;"",IF(ISNA(VLOOKUP($N112,OFFSET(選手情報!$A$6:$M$119,AT112,0),13,FALSE)),"","/"&amp;VLOOKUP($N112,OFFSET(選手情報!$A$6:$M$119,AT112,0),13,FALSE)),"")</f>
        <v/>
      </c>
      <c r="AV112" s="127" t="str">
        <f ca="1">IF(AT112&lt;&gt;"",IF(ISNA(VLOOKUP($N112,OFFSET(選手情報!$A$6:$BD$119,AT112,0),56,FALSE)),"",VLOOKUP($N112,OFFSET(選手情報!$A$6:$BD$119,AT112,0),56,FALSE)),"")</f>
        <v/>
      </c>
      <c r="AW112" s="127" t="str">
        <f ca="1">IF(AV112&lt;&gt;"",IF(ISNA(VLOOKUP($N112,OFFSET(選手情報!$A$6:$M$119,AV112,0),13,FALSE)),"","/"&amp;VLOOKUP($N112,OFFSET(選手情報!$A$6:$M$119,AV112,0),13,FALSE)),"")</f>
        <v/>
      </c>
      <c r="AX112" s="127" t="str">
        <f ca="1">IF(AV112&lt;&gt;"",IF(ISNA(VLOOKUP($N112,OFFSET(選手情報!$A$6:$BD$119,AV112,0),56,FALSE)),"",VLOOKUP($N112,OFFSET(選手情報!$A$6:$BD$119,AV112,0),56,FALSE)),"")</f>
        <v/>
      </c>
      <c r="AY112" s="127" t="str">
        <f ca="1">IF(AX112&lt;&gt;"",IF(ISNA(VLOOKUP($N112,OFFSET(選手情報!$A$6:$M$119,AX112,0),13,FALSE)),"","/"&amp;VLOOKUP($N112,OFFSET(選手情報!$A$6:$M$119,AX112,0),13,FALSE)),"")</f>
        <v/>
      </c>
      <c r="AZ112" s="127" t="str">
        <f ca="1">IF(AX112&lt;&gt;"",IF(ISNA(VLOOKUP($N112,OFFSET(選手情報!$A$6:$BD$119,AX112,0),56,FALSE)),"",VLOOKUP($N112,OFFSET(選手情報!$A$6:$BD$119,AX112,0),56,FALSE)),"")</f>
        <v/>
      </c>
      <c r="BA112" s="127" t="str">
        <f ca="1">IF(AZ112&lt;&gt;"",IF(ISNA(VLOOKUP($N112,OFFSET(選手情報!$A$6:$M$119,AZ112,0),13,FALSE)),"","/"&amp;VLOOKUP($N112,OFFSET(選手情報!$A$6:$M$119,AZ112,0),13,FALSE)),"")</f>
        <v/>
      </c>
      <c r="BB112" s="127" t="str">
        <f ca="1">IF(AZ112&lt;&gt;"",IF(ISNA(VLOOKUP($N112,OFFSET(選手情報!$A$6:$BD$119,AZ112,0),56,FALSE)),"",VLOOKUP($N112,OFFSET(選手情報!$A$6:$BD$119,AZ112,0),56,FALSE)),"")</f>
        <v/>
      </c>
      <c r="BC112" s="127" t="str">
        <f ca="1">IF(BB112&lt;&gt;"",IF(ISNA(VLOOKUP($N112,OFFSET(選手情報!$A$6:$M$119,BB112,0),13,FALSE)),"","/"&amp;VLOOKUP($N112,OFFSET(選手情報!$A$6:$M$119,BB112,0),13,FALSE)),"")</f>
        <v/>
      </c>
      <c r="BD112" s="127" t="str">
        <f ca="1">IF(BB112&lt;&gt;"",IF(ISNA(VLOOKUP($N112,OFFSET(選手情報!$A$6:$BD$119,BB112,0),56,FALSE)),"",VLOOKUP($N112,OFFSET(選手情報!$A$6:$BD$119,BB112,0),56,FALSE)),"")</f>
        <v/>
      </c>
      <c r="BE112" s="127" t="str">
        <f ca="1">IF(BD112&lt;&gt;"",IF(ISNA(VLOOKUP($N112,OFFSET(選手情報!$A$6:$M$119,BD112,0),13,FALSE)),"","/"&amp;VLOOKUP($N112,OFFSET(選手情報!$A$6:$M$119,BD112,0),13,FALSE)),"")</f>
        <v/>
      </c>
      <c r="BF112" s="127" t="str">
        <f ca="1">IF(BD112&lt;&gt;"",IF(ISNA(VLOOKUP($N112,OFFSET(選手情報!$A$6:$BD$119,BD112,0),56,FALSE)),"",VLOOKUP($N112,OFFSET(選手情報!$A$6:$BD$119,BD112,0),56,FALSE)),"")</f>
        <v/>
      </c>
      <c r="BG112" s="127" t="str">
        <f ca="1">IF(BF112&lt;&gt;"",IF(ISNA(VLOOKUP($N112,OFFSET(選手情報!$A$6:$M$119,BF112,0),13,FALSE)),"","/"&amp;VLOOKUP($N112,OFFSET(選手情報!$A$6:$M$119,BF112,0),13,FALSE)),"")</f>
        <v/>
      </c>
      <c r="BH112" s="127" t="str">
        <f ca="1">IF(BF112&lt;&gt;"",IF(ISNA(VLOOKUP($N112,OFFSET(選手情報!$A$6:$BD$119,BF112,0),56,FALSE)),"",VLOOKUP($N112,OFFSET(選手情報!$A$6:$BD$119,BF112,0),56,FALSE)),"")</f>
        <v/>
      </c>
      <c r="BI112" s="127" t="str">
        <f ca="1">IF(BH112&lt;&gt;"",IF(ISNA(VLOOKUP($N112,OFFSET(選手情報!$A$6:$M$119,BH112,0),13,FALSE)),"","/"&amp;VLOOKUP($N112,OFFSET(選手情報!$A$6:$M$119,BH112,0),13,FALSE)),"")</f>
        <v/>
      </c>
    </row>
    <row r="113" spans="1:61" s="127" customFormat="1" ht="12.6" customHeight="1">
      <c r="A113" s="128" t="str">
        <f>IF(ISNA(VLOOKUP($C$2&amp;N113,選手データ!A:H,3,FALSE)),"",IF(M113&lt;&gt;M112,VLOOKUP($C$2&amp;N113,選手データ!A:H,3,FALSE),""))</f>
        <v/>
      </c>
      <c r="B113" s="129" t="str">
        <f>IF(A113&lt;&gt;"",VLOOKUP($C$2&amp;N113,選手データ!A:H,4,FALSE),"")</f>
        <v/>
      </c>
      <c r="C113" s="129" t="str">
        <f>IF(A113&lt;&gt;"",VLOOKUP($C$2&amp;N113,選手データ!A:H,5,FALSE),"")</f>
        <v/>
      </c>
      <c r="D113" s="129" t="str">
        <f>IF(A113&lt;&gt;"",VLOOKUP($C$2&amp;N113,選手データ!A:H,6,FALSE),"")</f>
        <v/>
      </c>
      <c r="E113" s="129" t="str">
        <f>IF(A113&lt;&gt;"",VLOOKUP($C$2&amp;N113,選手データ!A:H,7,FALSE),"")</f>
        <v/>
      </c>
      <c r="F113" s="130" t="str">
        <f>IF(A113&lt;&gt;"",VLOOKUP($C$2&amp;N113,選手データ!A:H,8,FALSE),"")</f>
        <v/>
      </c>
      <c r="G113" s="130" t="str">
        <f>IF(F113&lt;&gt;"",IF(DATEDIF(F113,設定!$B$12,"Y")&lt;20,"〇",""),"")</f>
        <v/>
      </c>
      <c r="H113" s="131" t="str">
        <f t="shared" ca="1" si="13"/>
        <v/>
      </c>
      <c r="I113" s="132" t="str">
        <f t="shared" ca="1" si="14"/>
        <v/>
      </c>
      <c r="J113" s="131" t="str">
        <f t="shared" ca="1" si="15"/>
        <v/>
      </c>
      <c r="K113" s="130" t="str">
        <f>IF(A113&lt;&gt;"",IF(COUNTIF(リレーチーム情報!$B$17:$B$22,A113&amp;E113)=1,"〇",""),"")</f>
        <v/>
      </c>
      <c r="L113" s="133" t="str">
        <f>IF(A113&lt;&gt;"",IF(COUNTIF(リレーチーム情報!$B$23:$B$28,A113&amp;E113)=1,"〇",""),"")</f>
        <v/>
      </c>
      <c r="M113" s="127">
        <f>IF(学校情報!$A$4&lt;&gt;"",0,IF(S112=0,MAX($M$109:M112)+1,M112))</f>
        <v>0</v>
      </c>
      <c r="N113" s="127" t="str">
        <f>IF(M113&lt;&gt;0,VLOOKUP(M113,選手情報!BI:BJ,2,FALSE),"")</f>
        <v/>
      </c>
      <c r="O113" s="127" t="str">
        <f ca="1">IF(M113&lt;&gt;0,VLOOKUP(N113,OFFSET(選手情報!$A$6:$W$119,IF(M113&lt;&gt;M112,0,R112),0),13,FALSE),"")</f>
        <v/>
      </c>
      <c r="P113" s="127" t="str">
        <f ca="1">IF(M113&lt;&gt;0,VLOOKUP(N113,OFFSET(選手情報!$A$6:$W$119,IF(M113&lt;&gt;M112,0,R112),0),16,FALSE),"")</f>
        <v/>
      </c>
      <c r="Q113" s="127" t="str">
        <f ca="1">IF(M113&lt;&gt;0,VLOOKUP(N113,OFFSET(選手情報!$A$6:$W$119,IF(M113&lt;&gt;M112,0,R112),0),21,FALSE),"")</f>
        <v/>
      </c>
      <c r="R113" s="127">
        <f ca="1">IF(M113&lt;&gt;0,VLOOKUP(N113,OFFSET(選手情報!$A$6:$BD$119,IF(M113&lt;&gt;M112,0,R112),0),56,FALSE),0)</f>
        <v>0</v>
      </c>
      <c r="S113" s="127">
        <f ca="1">IF(M113&lt;&gt;0,IF(ISNA(R113),0,COUNTIF(OFFSET(選手情報!$A$6:$A$119,R113,0),N113)),0)</f>
        <v>0</v>
      </c>
      <c r="U113" s="127">
        <f t="shared" si="16"/>
        <v>0</v>
      </c>
      <c r="V113" s="127">
        <f t="shared" ca="1" si="17"/>
        <v>1</v>
      </c>
      <c r="W113" s="127">
        <f t="shared" ca="1" si="12"/>
        <v>0</v>
      </c>
      <c r="X113" s="127" t="str">
        <f t="shared" ca="1" si="18"/>
        <v/>
      </c>
      <c r="Y113" s="127" t="str">
        <f>IF($A113&lt;&gt;"",IF(ISNA(VLOOKUP($N113,選手情報!$A$6:$M$119,13,FALSE)),"","/"&amp;VLOOKUP($N113,選手情報!$A$6:$M$119,13,FALSE)),"")</f>
        <v/>
      </c>
      <c r="Z113" s="127" t="str">
        <f ca="1">IF(Y113&lt;&gt;"",IF(ISNA(VLOOKUP($N113,OFFSET(選手情報!$A$6:$BD$119,0,0),56,FALSE)),"",VLOOKUP($N113,OFFSET(選手情報!$A$6:$BD$119,0,0),56,FALSE)),"")</f>
        <v/>
      </c>
      <c r="AA113" s="127" t="str">
        <f ca="1">IF(Z113&lt;&gt;"",IF(ISNA(VLOOKUP($N113,OFFSET(選手情報!$A$6:$M$119,Z113,0),13,FALSE)),"","/"&amp;VLOOKUP($N113,OFFSET(選手情報!$A$6:$M$119,Z113,0),13,FALSE)),"")</f>
        <v/>
      </c>
      <c r="AB113" s="127" t="str">
        <f ca="1">IF(Z113&lt;&gt;"",IF(ISNA(VLOOKUP($N113,OFFSET(選手情報!$A$6:$BD$119,Z113,0),56,FALSE)),"",VLOOKUP($N113,OFFSET(選手情報!$A$6:$BD$119,Z113,0),56,FALSE)),"")</f>
        <v/>
      </c>
      <c r="AC113" s="127" t="str">
        <f ca="1">IF(AB113&lt;&gt;"",IF(ISNA(VLOOKUP($N113,OFFSET(選手情報!$A$6:$M$119,AB113,0),13,FALSE)),"","/"&amp;VLOOKUP($N113,OFFSET(選手情報!$A$6:$M$119,AB113,0),13,FALSE)),"")</f>
        <v/>
      </c>
      <c r="AD113" s="127" t="str">
        <f ca="1">IF(AB113&lt;&gt;"",IF(ISNA(VLOOKUP($N113,OFFSET(選手情報!$A$6:$BD$119,AB113,0),56,FALSE)),"",VLOOKUP($N113,OFFSET(選手情報!$A$6:$BD$119,AB113,0),56,FALSE)),"")</f>
        <v/>
      </c>
      <c r="AE113" s="127" t="str">
        <f ca="1">IF(AD113&lt;&gt;"",IF(ISNA(VLOOKUP($N113,OFFSET(選手情報!$A$6:$M$119,AD113,0),13,FALSE)),"","/"&amp;VLOOKUP($N113,OFFSET(選手情報!$A$6:$M$119,AD113,0),13,FALSE)),"")</f>
        <v/>
      </c>
      <c r="AF113" s="127" t="str">
        <f ca="1">IF(AD113&lt;&gt;"",IF(ISNA(VLOOKUP($N113,OFFSET(選手情報!$A$6:$BD$119,AD113,0),56,FALSE)),"",VLOOKUP($N113,OFFSET(選手情報!$A$6:$BD$119,AD113,0),56,FALSE)),"")</f>
        <v/>
      </c>
      <c r="AG113" s="127" t="str">
        <f ca="1">IF(AF113&lt;&gt;"",IF(ISNA(VLOOKUP($N113,OFFSET(選手情報!$A$6:$M$119,AF113,0),13,FALSE)),"","/"&amp;VLOOKUP($N113,OFFSET(選手情報!$A$6:$M$119,AF113,0),13,FALSE)),"")</f>
        <v/>
      </c>
      <c r="AH113" s="127" t="str">
        <f ca="1">IF(AF113&lt;&gt;"",IF(ISNA(VLOOKUP($N113,OFFSET(選手情報!$A$6:$BD$119,AF113,0),56,FALSE)),"",VLOOKUP($N113,OFFSET(選手情報!$A$6:$BD$119,AF113,0),56,FALSE)),"")</f>
        <v/>
      </c>
      <c r="AI113" s="127" t="str">
        <f ca="1">IF(AH113&lt;&gt;"",IF(ISNA(VLOOKUP($N113,OFFSET(選手情報!$A$6:$M$119,AH113,0),13,FALSE)),"","/"&amp;VLOOKUP($N113,OFFSET(選手情報!$A$6:$M$119,AH113,0),13,FALSE)),"")</f>
        <v/>
      </c>
      <c r="AJ113" s="127" t="str">
        <f ca="1">IF(AH113&lt;&gt;"",IF(ISNA(VLOOKUP($N113,OFFSET(選手情報!$A$6:$BD$119,AH113,0),56,FALSE)),"",VLOOKUP($N113,OFFSET(選手情報!$A$6:$BD$119,AH113,0),56,FALSE)),"")</f>
        <v/>
      </c>
      <c r="AK113" s="127" t="str">
        <f ca="1">IF(AJ113&lt;&gt;"",IF(ISNA(VLOOKUP($N113,OFFSET(選手情報!$A$6:$M$119,AJ113,0),13,FALSE)),"","/"&amp;VLOOKUP($N113,OFFSET(選手情報!$A$6:$M$119,AJ113,0),13,FALSE)),"")</f>
        <v/>
      </c>
      <c r="AL113" s="127" t="str">
        <f ca="1">IF(AJ113&lt;&gt;"",IF(ISNA(VLOOKUP($N113,OFFSET(選手情報!$A$6:$BD$119,AJ113,0),56,FALSE)),"",VLOOKUP($N113,OFFSET(選手情報!$A$6:$BD$119,AJ113,0),56,FALSE)),"")</f>
        <v/>
      </c>
      <c r="AM113" s="127" t="str">
        <f ca="1">IF(AL113&lt;&gt;"",IF(ISNA(VLOOKUP($N113,OFFSET(選手情報!$A$6:$M$119,AL113,0),13,FALSE)),"","/"&amp;VLOOKUP($N113,OFFSET(選手情報!$A$6:$M$119,AL113,0),13,FALSE)),"")</f>
        <v/>
      </c>
      <c r="AN113" s="127" t="str">
        <f ca="1">IF(AL113&lt;&gt;"",IF(ISNA(VLOOKUP($N113,OFFSET(選手情報!$A$6:$BD$119,AL113,0),56,FALSE)),"",VLOOKUP($N113,OFFSET(選手情報!$A$6:$BD$119,AL113,0),56,FALSE)),"")</f>
        <v/>
      </c>
      <c r="AO113" s="127" t="str">
        <f ca="1">IF(AN113&lt;&gt;"",IF(ISNA(VLOOKUP($N113,OFFSET(選手情報!$A$6:$M$119,AN113,0),13,FALSE)),"","/"&amp;VLOOKUP($N113,OFFSET(選手情報!$A$6:$M$119,AN113,0),13,FALSE)),"")</f>
        <v/>
      </c>
      <c r="AP113" s="127" t="str">
        <f ca="1">IF(AN113&lt;&gt;"",IF(ISNA(VLOOKUP($N113,OFFSET(選手情報!$A$6:$BD$119,AN113,0),56,FALSE)),"",VLOOKUP($N113,OFFSET(選手情報!$A$6:$BD$119,AN113,0),56,FALSE)),"")</f>
        <v/>
      </c>
      <c r="AQ113" s="127" t="str">
        <f ca="1">IF(AP113&lt;&gt;"",IF(ISNA(VLOOKUP($N113,OFFSET(選手情報!$A$6:$M$119,AP113,0),13,FALSE)),"","/"&amp;VLOOKUP($N113,OFFSET(選手情報!$A$6:$M$119,AP113,0),13,FALSE)),"")</f>
        <v/>
      </c>
      <c r="AR113" s="127" t="str">
        <f ca="1">IF(AP113&lt;&gt;"",IF(ISNA(VLOOKUP($N113,OFFSET(選手情報!$A$6:$BD$119,AP113,0),56,FALSE)),"",VLOOKUP($N113,OFFSET(選手情報!$A$6:$BD$119,AP113,0),56,FALSE)),"")</f>
        <v/>
      </c>
      <c r="AS113" s="127" t="str">
        <f ca="1">IF(AR113&lt;&gt;"",IF(ISNA(VLOOKUP($N113,OFFSET(選手情報!$A$6:$M$119,AR113,0),13,FALSE)),"","/"&amp;VLOOKUP($N113,OFFSET(選手情報!$A$6:$M$119,AR113,0),13,FALSE)),"")</f>
        <v/>
      </c>
      <c r="AT113" s="127" t="str">
        <f ca="1">IF(AR113&lt;&gt;"",IF(ISNA(VLOOKUP($N113,OFFSET(選手情報!$A$6:$BD$119,AR113,0),56,FALSE)),"",VLOOKUP($N113,OFFSET(選手情報!$A$6:$BD$119,AR113,0),56,FALSE)),"")</f>
        <v/>
      </c>
      <c r="AU113" s="127" t="str">
        <f ca="1">IF(AT113&lt;&gt;"",IF(ISNA(VLOOKUP($N113,OFFSET(選手情報!$A$6:$M$119,AT113,0),13,FALSE)),"","/"&amp;VLOOKUP($N113,OFFSET(選手情報!$A$6:$M$119,AT113,0),13,FALSE)),"")</f>
        <v/>
      </c>
      <c r="AV113" s="127" t="str">
        <f ca="1">IF(AT113&lt;&gt;"",IF(ISNA(VLOOKUP($N113,OFFSET(選手情報!$A$6:$BD$119,AT113,0),56,FALSE)),"",VLOOKUP($N113,OFFSET(選手情報!$A$6:$BD$119,AT113,0),56,FALSE)),"")</f>
        <v/>
      </c>
      <c r="AW113" s="127" t="str">
        <f ca="1">IF(AV113&lt;&gt;"",IF(ISNA(VLOOKUP($N113,OFFSET(選手情報!$A$6:$M$119,AV113,0),13,FALSE)),"","/"&amp;VLOOKUP($N113,OFFSET(選手情報!$A$6:$M$119,AV113,0),13,FALSE)),"")</f>
        <v/>
      </c>
      <c r="AX113" s="127" t="str">
        <f ca="1">IF(AV113&lt;&gt;"",IF(ISNA(VLOOKUP($N113,OFFSET(選手情報!$A$6:$BD$119,AV113,0),56,FALSE)),"",VLOOKUP($N113,OFFSET(選手情報!$A$6:$BD$119,AV113,0),56,FALSE)),"")</f>
        <v/>
      </c>
      <c r="AY113" s="127" t="str">
        <f ca="1">IF(AX113&lt;&gt;"",IF(ISNA(VLOOKUP($N113,OFFSET(選手情報!$A$6:$M$119,AX113,0),13,FALSE)),"","/"&amp;VLOOKUP($N113,OFFSET(選手情報!$A$6:$M$119,AX113,0),13,FALSE)),"")</f>
        <v/>
      </c>
      <c r="AZ113" s="127" t="str">
        <f ca="1">IF(AX113&lt;&gt;"",IF(ISNA(VLOOKUP($N113,OFFSET(選手情報!$A$6:$BD$119,AX113,0),56,FALSE)),"",VLOOKUP($N113,OFFSET(選手情報!$A$6:$BD$119,AX113,0),56,FALSE)),"")</f>
        <v/>
      </c>
      <c r="BA113" s="127" t="str">
        <f ca="1">IF(AZ113&lt;&gt;"",IF(ISNA(VLOOKUP($N113,OFFSET(選手情報!$A$6:$M$119,AZ113,0),13,FALSE)),"","/"&amp;VLOOKUP($N113,OFFSET(選手情報!$A$6:$M$119,AZ113,0),13,FALSE)),"")</f>
        <v/>
      </c>
      <c r="BB113" s="127" t="str">
        <f ca="1">IF(AZ113&lt;&gt;"",IF(ISNA(VLOOKUP($N113,OFFSET(選手情報!$A$6:$BD$119,AZ113,0),56,FALSE)),"",VLOOKUP($N113,OFFSET(選手情報!$A$6:$BD$119,AZ113,0),56,FALSE)),"")</f>
        <v/>
      </c>
      <c r="BC113" s="127" t="str">
        <f ca="1">IF(BB113&lt;&gt;"",IF(ISNA(VLOOKUP($N113,OFFSET(選手情報!$A$6:$M$119,BB113,0),13,FALSE)),"","/"&amp;VLOOKUP($N113,OFFSET(選手情報!$A$6:$M$119,BB113,0),13,FALSE)),"")</f>
        <v/>
      </c>
      <c r="BD113" s="127" t="str">
        <f ca="1">IF(BB113&lt;&gt;"",IF(ISNA(VLOOKUP($N113,OFFSET(選手情報!$A$6:$BD$119,BB113,0),56,FALSE)),"",VLOOKUP($N113,OFFSET(選手情報!$A$6:$BD$119,BB113,0),56,FALSE)),"")</f>
        <v/>
      </c>
      <c r="BE113" s="127" t="str">
        <f ca="1">IF(BD113&lt;&gt;"",IF(ISNA(VLOOKUP($N113,OFFSET(選手情報!$A$6:$M$119,BD113,0),13,FALSE)),"","/"&amp;VLOOKUP($N113,OFFSET(選手情報!$A$6:$M$119,BD113,0),13,FALSE)),"")</f>
        <v/>
      </c>
      <c r="BF113" s="127" t="str">
        <f ca="1">IF(BD113&lt;&gt;"",IF(ISNA(VLOOKUP($N113,OFFSET(選手情報!$A$6:$BD$119,BD113,0),56,FALSE)),"",VLOOKUP($N113,OFFSET(選手情報!$A$6:$BD$119,BD113,0),56,FALSE)),"")</f>
        <v/>
      </c>
      <c r="BG113" s="127" t="str">
        <f ca="1">IF(BF113&lt;&gt;"",IF(ISNA(VLOOKUP($N113,OFFSET(選手情報!$A$6:$M$119,BF113,0),13,FALSE)),"","/"&amp;VLOOKUP($N113,OFFSET(選手情報!$A$6:$M$119,BF113,0),13,FALSE)),"")</f>
        <v/>
      </c>
      <c r="BH113" s="127" t="str">
        <f ca="1">IF(BF113&lt;&gt;"",IF(ISNA(VLOOKUP($N113,OFFSET(選手情報!$A$6:$BD$119,BF113,0),56,FALSE)),"",VLOOKUP($N113,OFFSET(選手情報!$A$6:$BD$119,BF113,0),56,FALSE)),"")</f>
        <v/>
      </c>
      <c r="BI113" s="127" t="str">
        <f ca="1">IF(BH113&lt;&gt;"",IF(ISNA(VLOOKUP($N113,OFFSET(選手情報!$A$6:$M$119,BH113,0),13,FALSE)),"","/"&amp;VLOOKUP($N113,OFFSET(選手情報!$A$6:$M$119,BH113,0),13,FALSE)),"")</f>
        <v/>
      </c>
    </row>
    <row r="114" spans="1:61" s="127" customFormat="1" ht="12.6" customHeight="1">
      <c r="A114" s="128" t="str">
        <f>IF(ISNA(VLOOKUP($C$2&amp;N114,選手データ!A:H,3,FALSE)),"",IF(M114&lt;&gt;M113,VLOOKUP($C$2&amp;N114,選手データ!A:H,3,FALSE),""))</f>
        <v/>
      </c>
      <c r="B114" s="129" t="str">
        <f>IF(A114&lt;&gt;"",VLOOKUP($C$2&amp;N114,選手データ!A:H,4,FALSE),"")</f>
        <v/>
      </c>
      <c r="C114" s="129" t="str">
        <f>IF(A114&lt;&gt;"",VLOOKUP($C$2&amp;N114,選手データ!A:H,5,FALSE),"")</f>
        <v/>
      </c>
      <c r="D114" s="129" t="str">
        <f>IF(A114&lt;&gt;"",VLOOKUP($C$2&amp;N114,選手データ!A:H,6,FALSE),"")</f>
        <v/>
      </c>
      <c r="E114" s="129" t="str">
        <f>IF(A114&lt;&gt;"",VLOOKUP($C$2&amp;N114,選手データ!A:H,7,FALSE),"")</f>
        <v/>
      </c>
      <c r="F114" s="130" t="str">
        <f>IF(A114&lt;&gt;"",VLOOKUP($C$2&amp;N114,選手データ!A:H,8,FALSE),"")</f>
        <v/>
      </c>
      <c r="G114" s="130" t="str">
        <f>IF(F114&lt;&gt;"",IF(DATEDIF(F114,設定!$B$12,"Y")&lt;20,"〇",""),"")</f>
        <v/>
      </c>
      <c r="H114" s="131" t="str">
        <f t="shared" ca="1" si="13"/>
        <v/>
      </c>
      <c r="I114" s="132" t="str">
        <f t="shared" ca="1" si="14"/>
        <v/>
      </c>
      <c r="J114" s="131" t="str">
        <f t="shared" ca="1" si="15"/>
        <v/>
      </c>
      <c r="K114" s="130" t="str">
        <f>IF(A114&lt;&gt;"",IF(COUNTIF(リレーチーム情報!$B$17:$B$22,A114&amp;E114)=1,"〇",""),"")</f>
        <v/>
      </c>
      <c r="L114" s="133" t="str">
        <f>IF(A114&lt;&gt;"",IF(COUNTIF(リレーチーム情報!$B$23:$B$28,A114&amp;E114)=1,"〇",""),"")</f>
        <v/>
      </c>
      <c r="M114" s="127">
        <f>IF(学校情報!$A$4&lt;&gt;"",0,IF(S113=0,MAX($M$109:M113)+1,M113))</f>
        <v>0</v>
      </c>
      <c r="N114" s="127" t="str">
        <f>IF(M114&lt;&gt;0,VLOOKUP(M114,選手情報!BI:BJ,2,FALSE),"")</f>
        <v/>
      </c>
      <c r="O114" s="127" t="str">
        <f ca="1">IF(M114&lt;&gt;0,VLOOKUP(N114,OFFSET(選手情報!$A$6:$W$119,IF(M114&lt;&gt;M113,0,R113),0),13,FALSE),"")</f>
        <v/>
      </c>
      <c r="P114" s="127" t="str">
        <f ca="1">IF(M114&lt;&gt;0,VLOOKUP(N114,OFFSET(選手情報!$A$6:$W$119,IF(M114&lt;&gt;M113,0,R113),0),16,FALSE),"")</f>
        <v/>
      </c>
      <c r="Q114" s="127" t="str">
        <f ca="1">IF(M114&lt;&gt;0,VLOOKUP(N114,OFFSET(選手情報!$A$6:$W$119,IF(M114&lt;&gt;M113,0,R113),0),21,FALSE),"")</f>
        <v/>
      </c>
      <c r="R114" s="127">
        <f ca="1">IF(M114&lt;&gt;0,VLOOKUP(N114,OFFSET(選手情報!$A$6:$BD$119,IF(M114&lt;&gt;M113,0,R113),0),56,FALSE),0)</f>
        <v>0</v>
      </c>
      <c r="S114" s="127">
        <f ca="1">IF(M114&lt;&gt;0,IF(ISNA(R114),0,COUNTIF(OFFSET(選手情報!$A$6:$A$119,R114,0),N114)),0)</f>
        <v>0</v>
      </c>
      <c r="U114" s="127">
        <f t="shared" si="16"/>
        <v>0</v>
      </c>
      <c r="V114" s="127">
        <f t="shared" ca="1" si="17"/>
        <v>1</v>
      </c>
      <c r="W114" s="127">
        <f t="shared" ca="1" si="12"/>
        <v>0</v>
      </c>
      <c r="X114" s="127" t="str">
        <f t="shared" ca="1" si="18"/>
        <v/>
      </c>
      <c r="Y114" s="127" t="str">
        <f>IF($A114&lt;&gt;"",IF(ISNA(VLOOKUP($N114,選手情報!$A$6:$M$119,13,FALSE)),"","/"&amp;VLOOKUP($N114,選手情報!$A$6:$M$119,13,FALSE)),"")</f>
        <v/>
      </c>
      <c r="Z114" s="127" t="str">
        <f ca="1">IF(Y114&lt;&gt;"",IF(ISNA(VLOOKUP($N114,OFFSET(選手情報!$A$6:$BD$119,0,0),56,FALSE)),"",VLOOKUP($N114,OFFSET(選手情報!$A$6:$BD$119,0,0),56,FALSE)),"")</f>
        <v/>
      </c>
      <c r="AA114" s="127" t="str">
        <f ca="1">IF(Z114&lt;&gt;"",IF(ISNA(VLOOKUP($N114,OFFSET(選手情報!$A$6:$M$119,Z114,0),13,FALSE)),"","/"&amp;VLOOKUP($N114,OFFSET(選手情報!$A$6:$M$119,Z114,0),13,FALSE)),"")</f>
        <v/>
      </c>
      <c r="AB114" s="127" t="str">
        <f ca="1">IF(Z114&lt;&gt;"",IF(ISNA(VLOOKUP($N114,OFFSET(選手情報!$A$6:$BD$119,Z114,0),56,FALSE)),"",VLOOKUP($N114,OFFSET(選手情報!$A$6:$BD$119,Z114,0),56,FALSE)),"")</f>
        <v/>
      </c>
      <c r="AC114" s="127" t="str">
        <f ca="1">IF(AB114&lt;&gt;"",IF(ISNA(VLOOKUP($N114,OFFSET(選手情報!$A$6:$M$119,AB114,0),13,FALSE)),"","/"&amp;VLOOKUP($N114,OFFSET(選手情報!$A$6:$M$119,AB114,0),13,FALSE)),"")</f>
        <v/>
      </c>
      <c r="AD114" s="127" t="str">
        <f ca="1">IF(AB114&lt;&gt;"",IF(ISNA(VLOOKUP($N114,OFFSET(選手情報!$A$6:$BD$119,AB114,0),56,FALSE)),"",VLOOKUP($N114,OFFSET(選手情報!$A$6:$BD$119,AB114,0),56,FALSE)),"")</f>
        <v/>
      </c>
      <c r="AE114" s="127" t="str">
        <f ca="1">IF(AD114&lt;&gt;"",IF(ISNA(VLOOKUP($N114,OFFSET(選手情報!$A$6:$M$119,AD114,0),13,FALSE)),"","/"&amp;VLOOKUP($N114,OFFSET(選手情報!$A$6:$M$119,AD114,0),13,FALSE)),"")</f>
        <v/>
      </c>
      <c r="AF114" s="127" t="str">
        <f ca="1">IF(AD114&lt;&gt;"",IF(ISNA(VLOOKUP($N114,OFFSET(選手情報!$A$6:$BD$119,AD114,0),56,FALSE)),"",VLOOKUP($N114,OFFSET(選手情報!$A$6:$BD$119,AD114,0),56,FALSE)),"")</f>
        <v/>
      </c>
      <c r="AG114" s="127" t="str">
        <f ca="1">IF(AF114&lt;&gt;"",IF(ISNA(VLOOKUP($N114,OFFSET(選手情報!$A$6:$M$119,AF114,0),13,FALSE)),"","/"&amp;VLOOKUP($N114,OFFSET(選手情報!$A$6:$M$119,AF114,0),13,FALSE)),"")</f>
        <v/>
      </c>
      <c r="AH114" s="127" t="str">
        <f ca="1">IF(AF114&lt;&gt;"",IF(ISNA(VLOOKUP($N114,OFFSET(選手情報!$A$6:$BD$119,AF114,0),56,FALSE)),"",VLOOKUP($N114,OFFSET(選手情報!$A$6:$BD$119,AF114,0),56,FALSE)),"")</f>
        <v/>
      </c>
      <c r="AI114" s="127" t="str">
        <f ca="1">IF(AH114&lt;&gt;"",IF(ISNA(VLOOKUP($N114,OFFSET(選手情報!$A$6:$M$119,AH114,0),13,FALSE)),"","/"&amp;VLOOKUP($N114,OFFSET(選手情報!$A$6:$M$119,AH114,0),13,FALSE)),"")</f>
        <v/>
      </c>
      <c r="AJ114" s="127" t="str">
        <f ca="1">IF(AH114&lt;&gt;"",IF(ISNA(VLOOKUP($N114,OFFSET(選手情報!$A$6:$BD$119,AH114,0),56,FALSE)),"",VLOOKUP($N114,OFFSET(選手情報!$A$6:$BD$119,AH114,0),56,FALSE)),"")</f>
        <v/>
      </c>
      <c r="AK114" s="127" t="str">
        <f ca="1">IF(AJ114&lt;&gt;"",IF(ISNA(VLOOKUP($N114,OFFSET(選手情報!$A$6:$M$119,AJ114,0),13,FALSE)),"","/"&amp;VLOOKUP($N114,OFFSET(選手情報!$A$6:$M$119,AJ114,0),13,FALSE)),"")</f>
        <v/>
      </c>
      <c r="AL114" s="127" t="str">
        <f ca="1">IF(AJ114&lt;&gt;"",IF(ISNA(VLOOKUP($N114,OFFSET(選手情報!$A$6:$BD$119,AJ114,0),56,FALSE)),"",VLOOKUP($N114,OFFSET(選手情報!$A$6:$BD$119,AJ114,0),56,FALSE)),"")</f>
        <v/>
      </c>
      <c r="AM114" s="127" t="str">
        <f ca="1">IF(AL114&lt;&gt;"",IF(ISNA(VLOOKUP($N114,OFFSET(選手情報!$A$6:$M$119,AL114,0),13,FALSE)),"","/"&amp;VLOOKUP($N114,OFFSET(選手情報!$A$6:$M$119,AL114,0),13,FALSE)),"")</f>
        <v/>
      </c>
      <c r="AN114" s="127" t="str">
        <f ca="1">IF(AL114&lt;&gt;"",IF(ISNA(VLOOKUP($N114,OFFSET(選手情報!$A$6:$BD$119,AL114,0),56,FALSE)),"",VLOOKUP($N114,OFFSET(選手情報!$A$6:$BD$119,AL114,0),56,FALSE)),"")</f>
        <v/>
      </c>
      <c r="AO114" s="127" t="str">
        <f ca="1">IF(AN114&lt;&gt;"",IF(ISNA(VLOOKUP($N114,OFFSET(選手情報!$A$6:$M$119,AN114,0),13,FALSE)),"","/"&amp;VLOOKUP($N114,OFFSET(選手情報!$A$6:$M$119,AN114,0),13,FALSE)),"")</f>
        <v/>
      </c>
      <c r="AP114" s="127" t="str">
        <f ca="1">IF(AN114&lt;&gt;"",IF(ISNA(VLOOKUP($N114,OFFSET(選手情報!$A$6:$BD$119,AN114,0),56,FALSE)),"",VLOOKUP($N114,OFFSET(選手情報!$A$6:$BD$119,AN114,0),56,FALSE)),"")</f>
        <v/>
      </c>
      <c r="AQ114" s="127" t="str">
        <f ca="1">IF(AP114&lt;&gt;"",IF(ISNA(VLOOKUP($N114,OFFSET(選手情報!$A$6:$M$119,AP114,0),13,FALSE)),"","/"&amp;VLOOKUP($N114,OFFSET(選手情報!$A$6:$M$119,AP114,0),13,FALSE)),"")</f>
        <v/>
      </c>
      <c r="AR114" s="127" t="str">
        <f ca="1">IF(AP114&lt;&gt;"",IF(ISNA(VLOOKUP($N114,OFFSET(選手情報!$A$6:$BD$119,AP114,0),56,FALSE)),"",VLOOKUP($N114,OFFSET(選手情報!$A$6:$BD$119,AP114,0),56,FALSE)),"")</f>
        <v/>
      </c>
      <c r="AS114" s="127" t="str">
        <f ca="1">IF(AR114&lt;&gt;"",IF(ISNA(VLOOKUP($N114,OFFSET(選手情報!$A$6:$M$119,AR114,0),13,FALSE)),"","/"&amp;VLOOKUP($N114,OFFSET(選手情報!$A$6:$M$119,AR114,0),13,FALSE)),"")</f>
        <v/>
      </c>
      <c r="AT114" s="127" t="str">
        <f ca="1">IF(AR114&lt;&gt;"",IF(ISNA(VLOOKUP($N114,OFFSET(選手情報!$A$6:$BD$119,AR114,0),56,FALSE)),"",VLOOKUP($N114,OFFSET(選手情報!$A$6:$BD$119,AR114,0),56,FALSE)),"")</f>
        <v/>
      </c>
      <c r="AU114" s="127" t="str">
        <f ca="1">IF(AT114&lt;&gt;"",IF(ISNA(VLOOKUP($N114,OFFSET(選手情報!$A$6:$M$119,AT114,0),13,FALSE)),"","/"&amp;VLOOKUP($N114,OFFSET(選手情報!$A$6:$M$119,AT114,0),13,FALSE)),"")</f>
        <v/>
      </c>
      <c r="AV114" s="127" t="str">
        <f ca="1">IF(AT114&lt;&gt;"",IF(ISNA(VLOOKUP($N114,OFFSET(選手情報!$A$6:$BD$119,AT114,0),56,FALSE)),"",VLOOKUP($N114,OFFSET(選手情報!$A$6:$BD$119,AT114,0),56,FALSE)),"")</f>
        <v/>
      </c>
      <c r="AW114" s="127" t="str">
        <f ca="1">IF(AV114&lt;&gt;"",IF(ISNA(VLOOKUP($N114,OFFSET(選手情報!$A$6:$M$119,AV114,0),13,FALSE)),"","/"&amp;VLOOKUP($N114,OFFSET(選手情報!$A$6:$M$119,AV114,0),13,FALSE)),"")</f>
        <v/>
      </c>
      <c r="AX114" s="127" t="str">
        <f ca="1">IF(AV114&lt;&gt;"",IF(ISNA(VLOOKUP($N114,OFFSET(選手情報!$A$6:$BD$119,AV114,0),56,FALSE)),"",VLOOKUP($N114,OFFSET(選手情報!$A$6:$BD$119,AV114,0),56,FALSE)),"")</f>
        <v/>
      </c>
      <c r="AY114" s="127" t="str">
        <f ca="1">IF(AX114&lt;&gt;"",IF(ISNA(VLOOKUP($N114,OFFSET(選手情報!$A$6:$M$119,AX114,0),13,FALSE)),"","/"&amp;VLOOKUP($N114,OFFSET(選手情報!$A$6:$M$119,AX114,0),13,FALSE)),"")</f>
        <v/>
      </c>
      <c r="AZ114" s="127" t="str">
        <f ca="1">IF(AX114&lt;&gt;"",IF(ISNA(VLOOKUP($N114,OFFSET(選手情報!$A$6:$BD$119,AX114,0),56,FALSE)),"",VLOOKUP($N114,OFFSET(選手情報!$A$6:$BD$119,AX114,0),56,FALSE)),"")</f>
        <v/>
      </c>
      <c r="BA114" s="127" t="str">
        <f ca="1">IF(AZ114&lt;&gt;"",IF(ISNA(VLOOKUP($N114,OFFSET(選手情報!$A$6:$M$119,AZ114,0),13,FALSE)),"","/"&amp;VLOOKUP($N114,OFFSET(選手情報!$A$6:$M$119,AZ114,0),13,FALSE)),"")</f>
        <v/>
      </c>
      <c r="BB114" s="127" t="str">
        <f ca="1">IF(AZ114&lt;&gt;"",IF(ISNA(VLOOKUP($N114,OFFSET(選手情報!$A$6:$BD$119,AZ114,0),56,FALSE)),"",VLOOKUP($N114,OFFSET(選手情報!$A$6:$BD$119,AZ114,0),56,FALSE)),"")</f>
        <v/>
      </c>
      <c r="BC114" s="127" t="str">
        <f ca="1">IF(BB114&lt;&gt;"",IF(ISNA(VLOOKUP($N114,OFFSET(選手情報!$A$6:$M$119,BB114,0),13,FALSE)),"","/"&amp;VLOOKUP($N114,OFFSET(選手情報!$A$6:$M$119,BB114,0),13,FALSE)),"")</f>
        <v/>
      </c>
      <c r="BD114" s="127" t="str">
        <f ca="1">IF(BB114&lt;&gt;"",IF(ISNA(VLOOKUP($N114,OFFSET(選手情報!$A$6:$BD$119,BB114,0),56,FALSE)),"",VLOOKUP($N114,OFFSET(選手情報!$A$6:$BD$119,BB114,0),56,FALSE)),"")</f>
        <v/>
      </c>
      <c r="BE114" s="127" t="str">
        <f ca="1">IF(BD114&lt;&gt;"",IF(ISNA(VLOOKUP($N114,OFFSET(選手情報!$A$6:$M$119,BD114,0),13,FALSE)),"","/"&amp;VLOOKUP($N114,OFFSET(選手情報!$A$6:$M$119,BD114,0),13,FALSE)),"")</f>
        <v/>
      </c>
      <c r="BF114" s="127" t="str">
        <f ca="1">IF(BD114&lt;&gt;"",IF(ISNA(VLOOKUP($N114,OFFSET(選手情報!$A$6:$BD$119,BD114,0),56,FALSE)),"",VLOOKUP($N114,OFFSET(選手情報!$A$6:$BD$119,BD114,0),56,FALSE)),"")</f>
        <v/>
      </c>
      <c r="BG114" s="127" t="str">
        <f ca="1">IF(BF114&lt;&gt;"",IF(ISNA(VLOOKUP($N114,OFFSET(選手情報!$A$6:$M$119,BF114,0),13,FALSE)),"","/"&amp;VLOOKUP($N114,OFFSET(選手情報!$A$6:$M$119,BF114,0),13,FALSE)),"")</f>
        <v/>
      </c>
      <c r="BH114" s="127" t="str">
        <f ca="1">IF(BF114&lt;&gt;"",IF(ISNA(VLOOKUP($N114,OFFSET(選手情報!$A$6:$BD$119,BF114,0),56,FALSE)),"",VLOOKUP($N114,OFFSET(選手情報!$A$6:$BD$119,BF114,0),56,FALSE)),"")</f>
        <v/>
      </c>
      <c r="BI114" s="127" t="str">
        <f ca="1">IF(BH114&lt;&gt;"",IF(ISNA(VLOOKUP($N114,OFFSET(選手情報!$A$6:$M$119,BH114,0),13,FALSE)),"","/"&amp;VLOOKUP($N114,OFFSET(選手情報!$A$6:$M$119,BH114,0),13,FALSE)),"")</f>
        <v/>
      </c>
    </row>
    <row r="115" spans="1:61" s="127" customFormat="1" ht="12.6" customHeight="1">
      <c r="A115" s="128" t="str">
        <f>IF(ISNA(VLOOKUP($C$2&amp;N115,選手データ!A:H,3,FALSE)),"",IF(M115&lt;&gt;M114,VLOOKUP($C$2&amp;N115,選手データ!A:H,3,FALSE),""))</f>
        <v/>
      </c>
      <c r="B115" s="129" t="str">
        <f>IF(A115&lt;&gt;"",VLOOKUP($C$2&amp;N115,選手データ!A:H,4,FALSE),"")</f>
        <v/>
      </c>
      <c r="C115" s="129" t="str">
        <f>IF(A115&lt;&gt;"",VLOOKUP($C$2&amp;N115,選手データ!A:H,5,FALSE),"")</f>
        <v/>
      </c>
      <c r="D115" s="129" t="str">
        <f>IF(A115&lt;&gt;"",VLOOKUP($C$2&amp;N115,選手データ!A:H,6,FALSE),"")</f>
        <v/>
      </c>
      <c r="E115" s="129" t="str">
        <f>IF(A115&lt;&gt;"",VLOOKUP($C$2&amp;N115,選手データ!A:H,7,FALSE),"")</f>
        <v/>
      </c>
      <c r="F115" s="130" t="str">
        <f>IF(A115&lt;&gt;"",VLOOKUP($C$2&amp;N115,選手データ!A:H,8,FALSE),"")</f>
        <v/>
      </c>
      <c r="G115" s="130" t="str">
        <f>IF(F115&lt;&gt;"",IF(DATEDIF(F115,設定!$B$12,"Y")&lt;20,"〇",""),"")</f>
        <v/>
      </c>
      <c r="H115" s="131" t="str">
        <f t="shared" ca="1" si="13"/>
        <v/>
      </c>
      <c r="I115" s="132" t="str">
        <f t="shared" ca="1" si="14"/>
        <v/>
      </c>
      <c r="J115" s="131" t="str">
        <f t="shared" ca="1" si="15"/>
        <v/>
      </c>
      <c r="K115" s="130" t="str">
        <f>IF(A115&lt;&gt;"",IF(COUNTIF(リレーチーム情報!$B$17:$B$22,A115&amp;E115)=1,"〇",""),"")</f>
        <v/>
      </c>
      <c r="L115" s="133" t="str">
        <f>IF(A115&lt;&gt;"",IF(COUNTIF(リレーチーム情報!$B$23:$B$28,A115&amp;E115)=1,"〇",""),"")</f>
        <v/>
      </c>
      <c r="M115" s="127">
        <f>IF(学校情報!$A$4&lt;&gt;"",0,IF(S114=0,MAX($M$109:M114)+1,M114))</f>
        <v>0</v>
      </c>
      <c r="N115" s="127" t="str">
        <f>IF(M115&lt;&gt;0,VLOOKUP(M115,選手情報!BI:BJ,2,FALSE),"")</f>
        <v/>
      </c>
      <c r="O115" s="127" t="str">
        <f ca="1">IF(M115&lt;&gt;0,VLOOKUP(N115,OFFSET(選手情報!$A$6:$W$119,IF(M115&lt;&gt;M114,0,R114),0),13,FALSE),"")</f>
        <v/>
      </c>
      <c r="P115" s="127" t="str">
        <f ca="1">IF(M115&lt;&gt;0,VLOOKUP(N115,OFFSET(選手情報!$A$6:$W$119,IF(M115&lt;&gt;M114,0,R114),0),16,FALSE),"")</f>
        <v/>
      </c>
      <c r="Q115" s="127" t="str">
        <f ca="1">IF(M115&lt;&gt;0,VLOOKUP(N115,OFFSET(選手情報!$A$6:$W$119,IF(M115&lt;&gt;M114,0,R114),0),21,FALSE),"")</f>
        <v/>
      </c>
      <c r="R115" s="127">
        <f ca="1">IF(M115&lt;&gt;0,VLOOKUP(N115,OFFSET(選手情報!$A$6:$BD$119,IF(M115&lt;&gt;M114,0,R114),0),56,FALSE),0)</f>
        <v>0</v>
      </c>
      <c r="S115" s="127">
        <f ca="1">IF(M115&lt;&gt;0,IF(ISNA(R115),0,COUNTIF(OFFSET(選手情報!$A$6:$A$119,R115,0),N115)),0)</f>
        <v>0</v>
      </c>
      <c r="U115" s="127">
        <f t="shared" si="16"/>
        <v>0</v>
      </c>
      <c r="V115" s="127">
        <f t="shared" ca="1" si="17"/>
        <v>1</v>
      </c>
      <c r="W115" s="127">
        <f t="shared" ca="1" si="12"/>
        <v>0</v>
      </c>
      <c r="X115" s="127" t="str">
        <f t="shared" ca="1" si="18"/>
        <v/>
      </c>
      <c r="Y115" s="127" t="str">
        <f>IF($A115&lt;&gt;"",IF(ISNA(VLOOKUP($N115,選手情報!$A$6:$M$119,13,FALSE)),"","/"&amp;VLOOKUP($N115,選手情報!$A$6:$M$119,13,FALSE)),"")</f>
        <v/>
      </c>
      <c r="Z115" s="127" t="str">
        <f ca="1">IF(Y115&lt;&gt;"",IF(ISNA(VLOOKUP($N115,OFFSET(選手情報!$A$6:$BD$119,0,0),56,FALSE)),"",VLOOKUP($N115,OFFSET(選手情報!$A$6:$BD$119,0,0),56,FALSE)),"")</f>
        <v/>
      </c>
      <c r="AA115" s="127" t="str">
        <f ca="1">IF(Z115&lt;&gt;"",IF(ISNA(VLOOKUP($N115,OFFSET(選手情報!$A$6:$M$119,Z115,0),13,FALSE)),"","/"&amp;VLOOKUP($N115,OFFSET(選手情報!$A$6:$M$119,Z115,0),13,FALSE)),"")</f>
        <v/>
      </c>
      <c r="AB115" s="127" t="str">
        <f ca="1">IF(Z115&lt;&gt;"",IF(ISNA(VLOOKUP($N115,OFFSET(選手情報!$A$6:$BD$119,Z115,0),56,FALSE)),"",VLOOKUP($N115,OFFSET(選手情報!$A$6:$BD$119,Z115,0),56,FALSE)),"")</f>
        <v/>
      </c>
      <c r="AC115" s="127" t="str">
        <f ca="1">IF(AB115&lt;&gt;"",IF(ISNA(VLOOKUP($N115,OFFSET(選手情報!$A$6:$M$119,AB115,0),13,FALSE)),"","/"&amp;VLOOKUP($N115,OFFSET(選手情報!$A$6:$M$119,AB115,0),13,FALSE)),"")</f>
        <v/>
      </c>
      <c r="AD115" s="127" t="str">
        <f ca="1">IF(AB115&lt;&gt;"",IF(ISNA(VLOOKUP($N115,OFFSET(選手情報!$A$6:$BD$119,AB115,0),56,FALSE)),"",VLOOKUP($N115,OFFSET(選手情報!$A$6:$BD$119,AB115,0),56,FALSE)),"")</f>
        <v/>
      </c>
      <c r="AE115" s="127" t="str">
        <f ca="1">IF(AD115&lt;&gt;"",IF(ISNA(VLOOKUP($N115,OFFSET(選手情報!$A$6:$M$119,AD115,0),13,FALSE)),"","/"&amp;VLOOKUP($N115,OFFSET(選手情報!$A$6:$M$119,AD115,0),13,FALSE)),"")</f>
        <v/>
      </c>
      <c r="AF115" s="127" t="str">
        <f ca="1">IF(AD115&lt;&gt;"",IF(ISNA(VLOOKUP($N115,OFFSET(選手情報!$A$6:$BD$119,AD115,0),56,FALSE)),"",VLOOKUP($N115,OFFSET(選手情報!$A$6:$BD$119,AD115,0),56,FALSE)),"")</f>
        <v/>
      </c>
      <c r="AG115" s="127" t="str">
        <f ca="1">IF(AF115&lt;&gt;"",IF(ISNA(VLOOKUP($N115,OFFSET(選手情報!$A$6:$M$119,AF115,0),13,FALSE)),"","/"&amp;VLOOKUP($N115,OFFSET(選手情報!$A$6:$M$119,AF115,0),13,FALSE)),"")</f>
        <v/>
      </c>
      <c r="AH115" s="127" t="str">
        <f ca="1">IF(AF115&lt;&gt;"",IF(ISNA(VLOOKUP($N115,OFFSET(選手情報!$A$6:$BD$119,AF115,0),56,FALSE)),"",VLOOKUP($N115,OFFSET(選手情報!$A$6:$BD$119,AF115,0),56,FALSE)),"")</f>
        <v/>
      </c>
      <c r="AI115" s="127" t="str">
        <f ca="1">IF(AH115&lt;&gt;"",IF(ISNA(VLOOKUP($N115,OFFSET(選手情報!$A$6:$M$119,AH115,0),13,FALSE)),"","/"&amp;VLOOKUP($N115,OFFSET(選手情報!$A$6:$M$119,AH115,0),13,FALSE)),"")</f>
        <v/>
      </c>
      <c r="AJ115" s="127" t="str">
        <f ca="1">IF(AH115&lt;&gt;"",IF(ISNA(VLOOKUP($N115,OFFSET(選手情報!$A$6:$BD$119,AH115,0),56,FALSE)),"",VLOOKUP($N115,OFFSET(選手情報!$A$6:$BD$119,AH115,0),56,FALSE)),"")</f>
        <v/>
      </c>
      <c r="AK115" s="127" t="str">
        <f ca="1">IF(AJ115&lt;&gt;"",IF(ISNA(VLOOKUP($N115,OFFSET(選手情報!$A$6:$M$119,AJ115,0),13,FALSE)),"","/"&amp;VLOOKUP($N115,OFFSET(選手情報!$A$6:$M$119,AJ115,0),13,FALSE)),"")</f>
        <v/>
      </c>
      <c r="AL115" s="127" t="str">
        <f ca="1">IF(AJ115&lt;&gt;"",IF(ISNA(VLOOKUP($N115,OFFSET(選手情報!$A$6:$BD$119,AJ115,0),56,FALSE)),"",VLOOKUP($N115,OFFSET(選手情報!$A$6:$BD$119,AJ115,0),56,FALSE)),"")</f>
        <v/>
      </c>
      <c r="AM115" s="127" t="str">
        <f ca="1">IF(AL115&lt;&gt;"",IF(ISNA(VLOOKUP($N115,OFFSET(選手情報!$A$6:$M$119,AL115,0),13,FALSE)),"","/"&amp;VLOOKUP($N115,OFFSET(選手情報!$A$6:$M$119,AL115,0),13,FALSE)),"")</f>
        <v/>
      </c>
      <c r="AN115" s="127" t="str">
        <f ca="1">IF(AL115&lt;&gt;"",IF(ISNA(VLOOKUP($N115,OFFSET(選手情報!$A$6:$BD$119,AL115,0),56,FALSE)),"",VLOOKUP($N115,OFFSET(選手情報!$A$6:$BD$119,AL115,0),56,FALSE)),"")</f>
        <v/>
      </c>
      <c r="AO115" s="127" t="str">
        <f ca="1">IF(AN115&lt;&gt;"",IF(ISNA(VLOOKUP($N115,OFFSET(選手情報!$A$6:$M$119,AN115,0),13,FALSE)),"","/"&amp;VLOOKUP($N115,OFFSET(選手情報!$A$6:$M$119,AN115,0),13,FALSE)),"")</f>
        <v/>
      </c>
      <c r="AP115" s="127" t="str">
        <f ca="1">IF(AN115&lt;&gt;"",IF(ISNA(VLOOKUP($N115,OFFSET(選手情報!$A$6:$BD$119,AN115,0),56,FALSE)),"",VLOOKUP($N115,OFFSET(選手情報!$A$6:$BD$119,AN115,0),56,FALSE)),"")</f>
        <v/>
      </c>
      <c r="AQ115" s="127" t="str">
        <f ca="1">IF(AP115&lt;&gt;"",IF(ISNA(VLOOKUP($N115,OFFSET(選手情報!$A$6:$M$119,AP115,0),13,FALSE)),"","/"&amp;VLOOKUP($N115,OFFSET(選手情報!$A$6:$M$119,AP115,0),13,FALSE)),"")</f>
        <v/>
      </c>
      <c r="AR115" s="127" t="str">
        <f ca="1">IF(AP115&lt;&gt;"",IF(ISNA(VLOOKUP($N115,OFFSET(選手情報!$A$6:$BD$119,AP115,0),56,FALSE)),"",VLOOKUP($N115,OFFSET(選手情報!$A$6:$BD$119,AP115,0),56,FALSE)),"")</f>
        <v/>
      </c>
      <c r="AS115" s="127" t="str">
        <f ca="1">IF(AR115&lt;&gt;"",IF(ISNA(VLOOKUP($N115,OFFSET(選手情報!$A$6:$M$119,AR115,0),13,FALSE)),"","/"&amp;VLOOKUP($N115,OFFSET(選手情報!$A$6:$M$119,AR115,0),13,FALSE)),"")</f>
        <v/>
      </c>
      <c r="AT115" s="127" t="str">
        <f ca="1">IF(AR115&lt;&gt;"",IF(ISNA(VLOOKUP($N115,OFFSET(選手情報!$A$6:$BD$119,AR115,0),56,FALSE)),"",VLOOKUP($N115,OFFSET(選手情報!$A$6:$BD$119,AR115,0),56,FALSE)),"")</f>
        <v/>
      </c>
      <c r="AU115" s="127" t="str">
        <f ca="1">IF(AT115&lt;&gt;"",IF(ISNA(VLOOKUP($N115,OFFSET(選手情報!$A$6:$M$119,AT115,0),13,FALSE)),"","/"&amp;VLOOKUP($N115,OFFSET(選手情報!$A$6:$M$119,AT115,0),13,FALSE)),"")</f>
        <v/>
      </c>
      <c r="AV115" s="127" t="str">
        <f ca="1">IF(AT115&lt;&gt;"",IF(ISNA(VLOOKUP($N115,OFFSET(選手情報!$A$6:$BD$119,AT115,0),56,FALSE)),"",VLOOKUP($N115,OFFSET(選手情報!$A$6:$BD$119,AT115,0),56,FALSE)),"")</f>
        <v/>
      </c>
      <c r="AW115" s="127" t="str">
        <f ca="1">IF(AV115&lt;&gt;"",IF(ISNA(VLOOKUP($N115,OFFSET(選手情報!$A$6:$M$119,AV115,0),13,FALSE)),"","/"&amp;VLOOKUP($N115,OFFSET(選手情報!$A$6:$M$119,AV115,0),13,FALSE)),"")</f>
        <v/>
      </c>
      <c r="AX115" s="127" t="str">
        <f ca="1">IF(AV115&lt;&gt;"",IF(ISNA(VLOOKUP($N115,OFFSET(選手情報!$A$6:$BD$119,AV115,0),56,FALSE)),"",VLOOKUP($N115,OFFSET(選手情報!$A$6:$BD$119,AV115,0),56,FALSE)),"")</f>
        <v/>
      </c>
      <c r="AY115" s="127" t="str">
        <f ca="1">IF(AX115&lt;&gt;"",IF(ISNA(VLOOKUP($N115,OFFSET(選手情報!$A$6:$M$119,AX115,0),13,FALSE)),"","/"&amp;VLOOKUP($N115,OFFSET(選手情報!$A$6:$M$119,AX115,0),13,FALSE)),"")</f>
        <v/>
      </c>
      <c r="AZ115" s="127" t="str">
        <f ca="1">IF(AX115&lt;&gt;"",IF(ISNA(VLOOKUP($N115,OFFSET(選手情報!$A$6:$BD$119,AX115,0),56,FALSE)),"",VLOOKUP($N115,OFFSET(選手情報!$A$6:$BD$119,AX115,0),56,FALSE)),"")</f>
        <v/>
      </c>
      <c r="BA115" s="127" t="str">
        <f ca="1">IF(AZ115&lt;&gt;"",IF(ISNA(VLOOKUP($N115,OFFSET(選手情報!$A$6:$M$119,AZ115,0),13,FALSE)),"","/"&amp;VLOOKUP($N115,OFFSET(選手情報!$A$6:$M$119,AZ115,0),13,FALSE)),"")</f>
        <v/>
      </c>
      <c r="BB115" s="127" t="str">
        <f ca="1">IF(AZ115&lt;&gt;"",IF(ISNA(VLOOKUP($N115,OFFSET(選手情報!$A$6:$BD$119,AZ115,0),56,FALSE)),"",VLOOKUP($N115,OFFSET(選手情報!$A$6:$BD$119,AZ115,0),56,FALSE)),"")</f>
        <v/>
      </c>
      <c r="BC115" s="127" t="str">
        <f ca="1">IF(BB115&lt;&gt;"",IF(ISNA(VLOOKUP($N115,OFFSET(選手情報!$A$6:$M$119,BB115,0),13,FALSE)),"","/"&amp;VLOOKUP($N115,OFFSET(選手情報!$A$6:$M$119,BB115,0),13,FALSE)),"")</f>
        <v/>
      </c>
      <c r="BD115" s="127" t="str">
        <f ca="1">IF(BB115&lt;&gt;"",IF(ISNA(VLOOKUP($N115,OFFSET(選手情報!$A$6:$BD$119,BB115,0),56,FALSE)),"",VLOOKUP($N115,OFFSET(選手情報!$A$6:$BD$119,BB115,0),56,FALSE)),"")</f>
        <v/>
      </c>
      <c r="BE115" s="127" t="str">
        <f ca="1">IF(BD115&lt;&gt;"",IF(ISNA(VLOOKUP($N115,OFFSET(選手情報!$A$6:$M$119,BD115,0),13,FALSE)),"","/"&amp;VLOOKUP($N115,OFFSET(選手情報!$A$6:$M$119,BD115,0),13,FALSE)),"")</f>
        <v/>
      </c>
      <c r="BF115" s="127" t="str">
        <f ca="1">IF(BD115&lt;&gt;"",IF(ISNA(VLOOKUP($N115,OFFSET(選手情報!$A$6:$BD$119,BD115,0),56,FALSE)),"",VLOOKUP($N115,OFFSET(選手情報!$A$6:$BD$119,BD115,0),56,FALSE)),"")</f>
        <v/>
      </c>
      <c r="BG115" s="127" t="str">
        <f ca="1">IF(BF115&lt;&gt;"",IF(ISNA(VLOOKUP($N115,OFFSET(選手情報!$A$6:$M$119,BF115,0),13,FALSE)),"","/"&amp;VLOOKUP($N115,OFFSET(選手情報!$A$6:$M$119,BF115,0),13,FALSE)),"")</f>
        <v/>
      </c>
      <c r="BH115" s="127" t="str">
        <f ca="1">IF(BF115&lt;&gt;"",IF(ISNA(VLOOKUP($N115,OFFSET(選手情報!$A$6:$BD$119,BF115,0),56,FALSE)),"",VLOOKUP($N115,OFFSET(選手情報!$A$6:$BD$119,BF115,0),56,FALSE)),"")</f>
        <v/>
      </c>
      <c r="BI115" s="127" t="str">
        <f ca="1">IF(BH115&lt;&gt;"",IF(ISNA(VLOOKUP($N115,OFFSET(選手情報!$A$6:$M$119,BH115,0),13,FALSE)),"","/"&amp;VLOOKUP($N115,OFFSET(選手情報!$A$6:$M$119,BH115,0),13,FALSE)),"")</f>
        <v/>
      </c>
    </row>
    <row r="116" spans="1:61" s="127" customFormat="1" ht="12.6" customHeight="1">
      <c r="A116" s="128" t="str">
        <f>IF(ISNA(VLOOKUP($C$2&amp;N116,選手データ!A:H,3,FALSE)),"",IF(M116&lt;&gt;M115,VLOOKUP($C$2&amp;N116,選手データ!A:H,3,FALSE),""))</f>
        <v/>
      </c>
      <c r="B116" s="129" t="str">
        <f>IF(A116&lt;&gt;"",VLOOKUP($C$2&amp;N116,選手データ!A:H,4,FALSE),"")</f>
        <v/>
      </c>
      <c r="C116" s="129" t="str">
        <f>IF(A116&lt;&gt;"",VLOOKUP($C$2&amp;N116,選手データ!A:H,5,FALSE),"")</f>
        <v/>
      </c>
      <c r="D116" s="129" t="str">
        <f>IF(A116&lt;&gt;"",VLOOKUP($C$2&amp;N116,選手データ!A:H,6,FALSE),"")</f>
        <v/>
      </c>
      <c r="E116" s="129" t="str">
        <f>IF(A116&lt;&gt;"",VLOOKUP($C$2&amp;N116,選手データ!A:H,7,FALSE),"")</f>
        <v/>
      </c>
      <c r="F116" s="130" t="str">
        <f>IF(A116&lt;&gt;"",VLOOKUP($C$2&amp;N116,選手データ!A:H,8,FALSE),"")</f>
        <v/>
      </c>
      <c r="G116" s="130" t="str">
        <f>IF(F116&lt;&gt;"",IF(DATEDIF(F116,設定!$B$12,"Y")&lt;20,"〇",""),"")</f>
        <v/>
      </c>
      <c r="H116" s="131" t="str">
        <f t="shared" ca="1" si="13"/>
        <v/>
      </c>
      <c r="I116" s="132" t="str">
        <f t="shared" ca="1" si="14"/>
        <v/>
      </c>
      <c r="J116" s="131" t="str">
        <f t="shared" ca="1" si="15"/>
        <v/>
      </c>
      <c r="K116" s="130" t="str">
        <f>IF(A116&lt;&gt;"",IF(COUNTIF(リレーチーム情報!$B$17:$B$22,A116&amp;E116)=1,"〇",""),"")</f>
        <v/>
      </c>
      <c r="L116" s="133" t="str">
        <f>IF(A116&lt;&gt;"",IF(COUNTIF(リレーチーム情報!$B$23:$B$28,A116&amp;E116)=1,"〇",""),"")</f>
        <v/>
      </c>
      <c r="M116" s="127">
        <f>IF(学校情報!$A$4&lt;&gt;"",0,IF(S115=0,MAX($M$109:M115)+1,M115))</f>
        <v>0</v>
      </c>
      <c r="N116" s="127" t="str">
        <f>IF(M116&lt;&gt;0,VLOOKUP(M116,選手情報!BI:BJ,2,FALSE),"")</f>
        <v/>
      </c>
      <c r="O116" s="127" t="str">
        <f ca="1">IF(M116&lt;&gt;0,VLOOKUP(N116,OFFSET(選手情報!$A$6:$W$119,IF(M116&lt;&gt;M115,0,R115),0),13,FALSE),"")</f>
        <v/>
      </c>
      <c r="P116" s="127" t="str">
        <f ca="1">IF(M116&lt;&gt;0,VLOOKUP(N116,OFFSET(選手情報!$A$6:$W$119,IF(M116&lt;&gt;M115,0,R115),0),16,FALSE),"")</f>
        <v/>
      </c>
      <c r="Q116" s="127" t="str">
        <f ca="1">IF(M116&lt;&gt;0,VLOOKUP(N116,OFFSET(選手情報!$A$6:$W$119,IF(M116&lt;&gt;M115,0,R115),0),21,FALSE),"")</f>
        <v/>
      </c>
      <c r="R116" s="127">
        <f ca="1">IF(M116&lt;&gt;0,VLOOKUP(N116,OFFSET(選手情報!$A$6:$BD$119,IF(M116&lt;&gt;M115,0,R115),0),56,FALSE),0)</f>
        <v>0</v>
      </c>
      <c r="S116" s="127">
        <f ca="1">IF(M116&lt;&gt;0,IF(ISNA(R116),0,COUNTIF(OFFSET(選手情報!$A$6:$A$119,R116,0),N116)),0)</f>
        <v>0</v>
      </c>
      <c r="U116" s="127">
        <f t="shared" si="16"/>
        <v>0</v>
      </c>
      <c r="V116" s="127">
        <f t="shared" ca="1" si="17"/>
        <v>1</v>
      </c>
      <c r="W116" s="127">
        <f t="shared" ca="1" si="12"/>
        <v>0</v>
      </c>
      <c r="X116" s="127" t="str">
        <f t="shared" ca="1" si="18"/>
        <v/>
      </c>
      <c r="Y116" s="127" t="str">
        <f>IF($A116&lt;&gt;"",IF(ISNA(VLOOKUP($N116,選手情報!$A$6:$M$119,13,FALSE)),"","/"&amp;VLOOKUP($N116,選手情報!$A$6:$M$119,13,FALSE)),"")</f>
        <v/>
      </c>
      <c r="Z116" s="127" t="str">
        <f ca="1">IF(Y116&lt;&gt;"",IF(ISNA(VLOOKUP($N116,OFFSET(選手情報!$A$6:$BD$119,0,0),56,FALSE)),"",VLOOKUP($N116,OFFSET(選手情報!$A$6:$BD$119,0,0),56,FALSE)),"")</f>
        <v/>
      </c>
      <c r="AA116" s="127" t="str">
        <f ca="1">IF(Z116&lt;&gt;"",IF(ISNA(VLOOKUP($N116,OFFSET(選手情報!$A$6:$M$119,Z116,0),13,FALSE)),"","/"&amp;VLOOKUP($N116,OFFSET(選手情報!$A$6:$M$119,Z116,0),13,FALSE)),"")</f>
        <v/>
      </c>
      <c r="AB116" s="127" t="str">
        <f ca="1">IF(Z116&lt;&gt;"",IF(ISNA(VLOOKUP($N116,OFFSET(選手情報!$A$6:$BD$119,Z116,0),56,FALSE)),"",VLOOKUP($N116,OFFSET(選手情報!$A$6:$BD$119,Z116,0),56,FALSE)),"")</f>
        <v/>
      </c>
      <c r="AC116" s="127" t="str">
        <f ca="1">IF(AB116&lt;&gt;"",IF(ISNA(VLOOKUP($N116,OFFSET(選手情報!$A$6:$M$119,AB116,0),13,FALSE)),"","/"&amp;VLOOKUP($N116,OFFSET(選手情報!$A$6:$M$119,AB116,0),13,FALSE)),"")</f>
        <v/>
      </c>
      <c r="AD116" s="127" t="str">
        <f ca="1">IF(AB116&lt;&gt;"",IF(ISNA(VLOOKUP($N116,OFFSET(選手情報!$A$6:$BD$119,AB116,0),56,FALSE)),"",VLOOKUP($N116,OFFSET(選手情報!$A$6:$BD$119,AB116,0),56,FALSE)),"")</f>
        <v/>
      </c>
      <c r="AE116" s="127" t="str">
        <f ca="1">IF(AD116&lt;&gt;"",IF(ISNA(VLOOKUP($N116,OFFSET(選手情報!$A$6:$M$119,AD116,0),13,FALSE)),"","/"&amp;VLOOKUP($N116,OFFSET(選手情報!$A$6:$M$119,AD116,0),13,FALSE)),"")</f>
        <v/>
      </c>
      <c r="AF116" s="127" t="str">
        <f ca="1">IF(AD116&lt;&gt;"",IF(ISNA(VLOOKUP($N116,OFFSET(選手情報!$A$6:$BD$119,AD116,0),56,FALSE)),"",VLOOKUP($N116,OFFSET(選手情報!$A$6:$BD$119,AD116,0),56,FALSE)),"")</f>
        <v/>
      </c>
      <c r="AG116" s="127" t="str">
        <f ca="1">IF(AF116&lt;&gt;"",IF(ISNA(VLOOKUP($N116,OFFSET(選手情報!$A$6:$M$119,AF116,0),13,FALSE)),"","/"&amp;VLOOKUP($N116,OFFSET(選手情報!$A$6:$M$119,AF116,0),13,FALSE)),"")</f>
        <v/>
      </c>
      <c r="AH116" s="127" t="str">
        <f ca="1">IF(AF116&lt;&gt;"",IF(ISNA(VLOOKUP($N116,OFFSET(選手情報!$A$6:$BD$119,AF116,0),56,FALSE)),"",VLOOKUP($N116,OFFSET(選手情報!$A$6:$BD$119,AF116,0),56,FALSE)),"")</f>
        <v/>
      </c>
      <c r="AI116" s="127" t="str">
        <f ca="1">IF(AH116&lt;&gt;"",IF(ISNA(VLOOKUP($N116,OFFSET(選手情報!$A$6:$M$119,AH116,0),13,FALSE)),"","/"&amp;VLOOKUP($N116,OFFSET(選手情報!$A$6:$M$119,AH116,0),13,FALSE)),"")</f>
        <v/>
      </c>
      <c r="AJ116" s="127" t="str">
        <f ca="1">IF(AH116&lt;&gt;"",IF(ISNA(VLOOKUP($N116,OFFSET(選手情報!$A$6:$BD$119,AH116,0),56,FALSE)),"",VLOOKUP($N116,OFFSET(選手情報!$A$6:$BD$119,AH116,0),56,FALSE)),"")</f>
        <v/>
      </c>
      <c r="AK116" s="127" t="str">
        <f ca="1">IF(AJ116&lt;&gt;"",IF(ISNA(VLOOKUP($N116,OFFSET(選手情報!$A$6:$M$119,AJ116,0),13,FALSE)),"","/"&amp;VLOOKUP($N116,OFFSET(選手情報!$A$6:$M$119,AJ116,0),13,FALSE)),"")</f>
        <v/>
      </c>
      <c r="AL116" s="127" t="str">
        <f ca="1">IF(AJ116&lt;&gt;"",IF(ISNA(VLOOKUP($N116,OFFSET(選手情報!$A$6:$BD$119,AJ116,0),56,FALSE)),"",VLOOKUP($N116,OFFSET(選手情報!$A$6:$BD$119,AJ116,0),56,FALSE)),"")</f>
        <v/>
      </c>
      <c r="AM116" s="127" t="str">
        <f ca="1">IF(AL116&lt;&gt;"",IF(ISNA(VLOOKUP($N116,OFFSET(選手情報!$A$6:$M$119,AL116,0),13,FALSE)),"","/"&amp;VLOOKUP($N116,OFFSET(選手情報!$A$6:$M$119,AL116,0),13,FALSE)),"")</f>
        <v/>
      </c>
      <c r="AN116" s="127" t="str">
        <f ca="1">IF(AL116&lt;&gt;"",IF(ISNA(VLOOKUP($N116,OFFSET(選手情報!$A$6:$BD$119,AL116,0),56,FALSE)),"",VLOOKUP($N116,OFFSET(選手情報!$A$6:$BD$119,AL116,0),56,FALSE)),"")</f>
        <v/>
      </c>
      <c r="AO116" s="127" t="str">
        <f ca="1">IF(AN116&lt;&gt;"",IF(ISNA(VLOOKUP($N116,OFFSET(選手情報!$A$6:$M$119,AN116,0),13,FALSE)),"","/"&amp;VLOOKUP($N116,OFFSET(選手情報!$A$6:$M$119,AN116,0),13,FALSE)),"")</f>
        <v/>
      </c>
      <c r="AP116" s="127" t="str">
        <f ca="1">IF(AN116&lt;&gt;"",IF(ISNA(VLOOKUP($N116,OFFSET(選手情報!$A$6:$BD$119,AN116,0),56,FALSE)),"",VLOOKUP($N116,OFFSET(選手情報!$A$6:$BD$119,AN116,0),56,FALSE)),"")</f>
        <v/>
      </c>
      <c r="AQ116" s="127" t="str">
        <f ca="1">IF(AP116&lt;&gt;"",IF(ISNA(VLOOKUP($N116,OFFSET(選手情報!$A$6:$M$119,AP116,0),13,FALSE)),"","/"&amp;VLOOKUP($N116,OFFSET(選手情報!$A$6:$M$119,AP116,0),13,FALSE)),"")</f>
        <v/>
      </c>
      <c r="AR116" s="127" t="str">
        <f ca="1">IF(AP116&lt;&gt;"",IF(ISNA(VLOOKUP($N116,OFFSET(選手情報!$A$6:$BD$119,AP116,0),56,FALSE)),"",VLOOKUP($N116,OFFSET(選手情報!$A$6:$BD$119,AP116,0),56,FALSE)),"")</f>
        <v/>
      </c>
      <c r="AS116" s="127" t="str">
        <f ca="1">IF(AR116&lt;&gt;"",IF(ISNA(VLOOKUP($N116,OFFSET(選手情報!$A$6:$M$119,AR116,0),13,FALSE)),"","/"&amp;VLOOKUP($N116,OFFSET(選手情報!$A$6:$M$119,AR116,0),13,FALSE)),"")</f>
        <v/>
      </c>
      <c r="AT116" s="127" t="str">
        <f ca="1">IF(AR116&lt;&gt;"",IF(ISNA(VLOOKUP($N116,OFFSET(選手情報!$A$6:$BD$119,AR116,0),56,FALSE)),"",VLOOKUP($N116,OFFSET(選手情報!$A$6:$BD$119,AR116,0),56,FALSE)),"")</f>
        <v/>
      </c>
      <c r="AU116" s="127" t="str">
        <f ca="1">IF(AT116&lt;&gt;"",IF(ISNA(VLOOKUP($N116,OFFSET(選手情報!$A$6:$M$119,AT116,0),13,FALSE)),"","/"&amp;VLOOKUP($N116,OFFSET(選手情報!$A$6:$M$119,AT116,0),13,FALSE)),"")</f>
        <v/>
      </c>
      <c r="AV116" s="127" t="str">
        <f ca="1">IF(AT116&lt;&gt;"",IF(ISNA(VLOOKUP($N116,OFFSET(選手情報!$A$6:$BD$119,AT116,0),56,FALSE)),"",VLOOKUP($N116,OFFSET(選手情報!$A$6:$BD$119,AT116,0),56,FALSE)),"")</f>
        <v/>
      </c>
      <c r="AW116" s="127" t="str">
        <f ca="1">IF(AV116&lt;&gt;"",IF(ISNA(VLOOKUP($N116,OFFSET(選手情報!$A$6:$M$119,AV116,0),13,FALSE)),"","/"&amp;VLOOKUP($N116,OFFSET(選手情報!$A$6:$M$119,AV116,0),13,FALSE)),"")</f>
        <v/>
      </c>
      <c r="AX116" s="127" t="str">
        <f ca="1">IF(AV116&lt;&gt;"",IF(ISNA(VLOOKUP($N116,OFFSET(選手情報!$A$6:$BD$119,AV116,0),56,FALSE)),"",VLOOKUP($N116,OFFSET(選手情報!$A$6:$BD$119,AV116,0),56,FALSE)),"")</f>
        <v/>
      </c>
      <c r="AY116" s="127" t="str">
        <f ca="1">IF(AX116&lt;&gt;"",IF(ISNA(VLOOKUP($N116,OFFSET(選手情報!$A$6:$M$119,AX116,0),13,FALSE)),"","/"&amp;VLOOKUP($N116,OFFSET(選手情報!$A$6:$M$119,AX116,0),13,FALSE)),"")</f>
        <v/>
      </c>
      <c r="AZ116" s="127" t="str">
        <f ca="1">IF(AX116&lt;&gt;"",IF(ISNA(VLOOKUP($N116,OFFSET(選手情報!$A$6:$BD$119,AX116,0),56,FALSE)),"",VLOOKUP($N116,OFFSET(選手情報!$A$6:$BD$119,AX116,0),56,FALSE)),"")</f>
        <v/>
      </c>
      <c r="BA116" s="127" t="str">
        <f ca="1">IF(AZ116&lt;&gt;"",IF(ISNA(VLOOKUP($N116,OFFSET(選手情報!$A$6:$M$119,AZ116,0),13,FALSE)),"","/"&amp;VLOOKUP($N116,OFFSET(選手情報!$A$6:$M$119,AZ116,0),13,FALSE)),"")</f>
        <v/>
      </c>
      <c r="BB116" s="127" t="str">
        <f ca="1">IF(AZ116&lt;&gt;"",IF(ISNA(VLOOKUP($N116,OFFSET(選手情報!$A$6:$BD$119,AZ116,0),56,FALSE)),"",VLOOKUP($N116,OFFSET(選手情報!$A$6:$BD$119,AZ116,0),56,FALSE)),"")</f>
        <v/>
      </c>
      <c r="BC116" s="127" t="str">
        <f ca="1">IF(BB116&lt;&gt;"",IF(ISNA(VLOOKUP($N116,OFFSET(選手情報!$A$6:$M$119,BB116,0),13,FALSE)),"","/"&amp;VLOOKUP($N116,OFFSET(選手情報!$A$6:$M$119,BB116,0),13,FALSE)),"")</f>
        <v/>
      </c>
      <c r="BD116" s="127" t="str">
        <f ca="1">IF(BB116&lt;&gt;"",IF(ISNA(VLOOKUP($N116,OFFSET(選手情報!$A$6:$BD$119,BB116,0),56,FALSE)),"",VLOOKUP($N116,OFFSET(選手情報!$A$6:$BD$119,BB116,0),56,FALSE)),"")</f>
        <v/>
      </c>
      <c r="BE116" s="127" t="str">
        <f ca="1">IF(BD116&lt;&gt;"",IF(ISNA(VLOOKUP($N116,OFFSET(選手情報!$A$6:$M$119,BD116,0),13,FALSE)),"","/"&amp;VLOOKUP($N116,OFFSET(選手情報!$A$6:$M$119,BD116,0),13,FALSE)),"")</f>
        <v/>
      </c>
      <c r="BF116" s="127" t="str">
        <f ca="1">IF(BD116&lt;&gt;"",IF(ISNA(VLOOKUP($N116,OFFSET(選手情報!$A$6:$BD$119,BD116,0),56,FALSE)),"",VLOOKUP($N116,OFFSET(選手情報!$A$6:$BD$119,BD116,0),56,FALSE)),"")</f>
        <v/>
      </c>
      <c r="BG116" s="127" t="str">
        <f ca="1">IF(BF116&lt;&gt;"",IF(ISNA(VLOOKUP($N116,OFFSET(選手情報!$A$6:$M$119,BF116,0),13,FALSE)),"","/"&amp;VLOOKUP($N116,OFFSET(選手情報!$A$6:$M$119,BF116,0),13,FALSE)),"")</f>
        <v/>
      </c>
      <c r="BH116" s="127" t="str">
        <f ca="1">IF(BF116&lt;&gt;"",IF(ISNA(VLOOKUP($N116,OFFSET(選手情報!$A$6:$BD$119,BF116,0),56,FALSE)),"",VLOOKUP($N116,OFFSET(選手情報!$A$6:$BD$119,BF116,0),56,FALSE)),"")</f>
        <v/>
      </c>
      <c r="BI116" s="127" t="str">
        <f ca="1">IF(BH116&lt;&gt;"",IF(ISNA(VLOOKUP($N116,OFFSET(選手情報!$A$6:$M$119,BH116,0),13,FALSE)),"","/"&amp;VLOOKUP($N116,OFFSET(選手情報!$A$6:$M$119,BH116,0),13,FALSE)),"")</f>
        <v/>
      </c>
    </row>
    <row r="117" spans="1:61" s="127" customFormat="1" ht="12.6" customHeight="1">
      <c r="A117" s="128" t="str">
        <f>IF(ISNA(VLOOKUP($C$2&amp;N117,選手データ!A:H,3,FALSE)),"",IF(M117&lt;&gt;M116,VLOOKUP($C$2&amp;N117,選手データ!A:H,3,FALSE),""))</f>
        <v/>
      </c>
      <c r="B117" s="129" t="str">
        <f>IF(A117&lt;&gt;"",VLOOKUP($C$2&amp;N117,選手データ!A:H,4,FALSE),"")</f>
        <v/>
      </c>
      <c r="C117" s="129" t="str">
        <f>IF(A117&lt;&gt;"",VLOOKUP($C$2&amp;N117,選手データ!A:H,5,FALSE),"")</f>
        <v/>
      </c>
      <c r="D117" s="129" t="str">
        <f>IF(A117&lt;&gt;"",VLOOKUP($C$2&amp;N117,選手データ!A:H,6,FALSE),"")</f>
        <v/>
      </c>
      <c r="E117" s="129" t="str">
        <f>IF(A117&lt;&gt;"",VLOOKUP($C$2&amp;N117,選手データ!A:H,7,FALSE),"")</f>
        <v/>
      </c>
      <c r="F117" s="130" t="str">
        <f>IF(A117&lt;&gt;"",VLOOKUP($C$2&amp;N117,選手データ!A:H,8,FALSE),"")</f>
        <v/>
      </c>
      <c r="G117" s="130" t="str">
        <f>IF(F117&lt;&gt;"",IF(DATEDIF(F117,設定!$B$12,"Y")&lt;20,"〇",""),"")</f>
        <v/>
      </c>
      <c r="H117" s="131" t="str">
        <f t="shared" ca="1" si="13"/>
        <v/>
      </c>
      <c r="I117" s="132" t="str">
        <f t="shared" ca="1" si="14"/>
        <v/>
      </c>
      <c r="J117" s="131" t="str">
        <f t="shared" ca="1" si="15"/>
        <v/>
      </c>
      <c r="K117" s="130" t="str">
        <f>IF(A117&lt;&gt;"",IF(COUNTIF(リレーチーム情報!$B$17:$B$22,A117&amp;E117)=1,"〇",""),"")</f>
        <v/>
      </c>
      <c r="L117" s="133" t="str">
        <f>IF(A117&lt;&gt;"",IF(COUNTIF(リレーチーム情報!$B$23:$B$28,A117&amp;E117)=1,"〇",""),"")</f>
        <v/>
      </c>
      <c r="M117" s="127">
        <f>IF(学校情報!$A$4&lt;&gt;"",0,IF(S116=0,MAX($M$109:M116)+1,M116))</f>
        <v>0</v>
      </c>
      <c r="N117" s="127" t="str">
        <f>IF(M117&lt;&gt;0,VLOOKUP(M117,選手情報!BI:BJ,2,FALSE),"")</f>
        <v/>
      </c>
      <c r="O117" s="127" t="str">
        <f ca="1">IF(M117&lt;&gt;0,VLOOKUP(N117,OFFSET(選手情報!$A$6:$W$119,IF(M117&lt;&gt;M116,0,R116),0),13,FALSE),"")</f>
        <v/>
      </c>
      <c r="P117" s="127" t="str">
        <f ca="1">IF(M117&lt;&gt;0,VLOOKUP(N117,OFFSET(選手情報!$A$6:$W$119,IF(M117&lt;&gt;M116,0,R116),0),16,FALSE),"")</f>
        <v/>
      </c>
      <c r="Q117" s="127" t="str">
        <f ca="1">IF(M117&lt;&gt;0,VLOOKUP(N117,OFFSET(選手情報!$A$6:$W$119,IF(M117&lt;&gt;M116,0,R116),0),21,FALSE),"")</f>
        <v/>
      </c>
      <c r="R117" s="127">
        <f ca="1">IF(M117&lt;&gt;0,VLOOKUP(N117,OFFSET(選手情報!$A$6:$BD$119,IF(M117&lt;&gt;M116,0,R116),0),56,FALSE),0)</f>
        <v>0</v>
      </c>
      <c r="S117" s="127">
        <f ca="1">IF(M117&lt;&gt;0,IF(ISNA(R117),0,COUNTIF(OFFSET(選手情報!$A$6:$A$119,R117,0),N117)),0)</f>
        <v>0</v>
      </c>
      <c r="U117" s="127">
        <f t="shared" si="16"/>
        <v>0</v>
      </c>
      <c r="V117" s="127">
        <f t="shared" ca="1" si="17"/>
        <v>1</v>
      </c>
      <c r="W117" s="127">
        <f t="shared" ca="1" si="12"/>
        <v>0</v>
      </c>
      <c r="X117" s="127" t="str">
        <f t="shared" ca="1" si="18"/>
        <v/>
      </c>
      <c r="Y117" s="127" t="str">
        <f>IF($A117&lt;&gt;"",IF(ISNA(VLOOKUP($N117,選手情報!$A$6:$M$119,13,FALSE)),"","/"&amp;VLOOKUP($N117,選手情報!$A$6:$M$119,13,FALSE)),"")</f>
        <v/>
      </c>
      <c r="Z117" s="127" t="str">
        <f ca="1">IF(Y117&lt;&gt;"",IF(ISNA(VLOOKUP($N117,OFFSET(選手情報!$A$6:$BD$119,0,0),56,FALSE)),"",VLOOKUP($N117,OFFSET(選手情報!$A$6:$BD$119,0,0),56,FALSE)),"")</f>
        <v/>
      </c>
      <c r="AA117" s="127" t="str">
        <f ca="1">IF(Z117&lt;&gt;"",IF(ISNA(VLOOKUP($N117,OFFSET(選手情報!$A$6:$M$119,Z117,0),13,FALSE)),"","/"&amp;VLOOKUP($N117,OFFSET(選手情報!$A$6:$M$119,Z117,0),13,FALSE)),"")</f>
        <v/>
      </c>
      <c r="AB117" s="127" t="str">
        <f ca="1">IF(Z117&lt;&gt;"",IF(ISNA(VLOOKUP($N117,OFFSET(選手情報!$A$6:$BD$119,Z117,0),56,FALSE)),"",VLOOKUP($N117,OFFSET(選手情報!$A$6:$BD$119,Z117,0),56,FALSE)),"")</f>
        <v/>
      </c>
      <c r="AC117" s="127" t="str">
        <f ca="1">IF(AB117&lt;&gt;"",IF(ISNA(VLOOKUP($N117,OFFSET(選手情報!$A$6:$M$119,AB117,0),13,FALSE)),"","/"&amp;VLOOKUP($N117,OFFSET(選手情報!$A$6:$M$119,AB117,0),13,FALSE)),"")</f>
        <v/>
      </c>
      <c r="AD117" s="127" t="str">
        <f ca="1">IF(AB117&lt;&gt;"",IF(ISNA(VLOOKUP($N117,OFFSET(選手情報!$A$6:$BD$119,AB117,0),56,FALSE)),"",VLOOKUP($N117,OFFSET(選手情報!$A$6:$BD$119,AB117,0),56,FALSE)),"")</f>
        <v/>
      </c>
      <c r="AE117" s="127" t="str">
        <f ca="1">IF(AD117&lt;&gt;"",IF(ISNA(VLOOKUP($N117,OFFSET(選手情報!$A$6:$M$119,AD117,0),13,FALSE)),"","/"&amp;VLOOKUP($N117,OFFSET(選手情報!$A$6:$M$119,AD117,0),13,FALSE)),"")</f>
        <v/>
      </c>
      <c r="AF117" s="127" t="str">
        <f ca="1">IF(AD117&lt;&gt;"",IF(ISNA(VLOOKUP($N117,OFFSET(選手情報!$A$6:$BD$119,AD117,0),56,FALSE)),"",VLOOKUP($N117,OFFSET(選手情報!$A$6:$BD$119,AD117,0),56,FALSE)),"")</f>
        <v/>
      </c>
      <c r="AG117" s="127" t="str">
        <f ca="1">IF(AF117&lt;&gt;"",IF(ISNA(VLOOKUP($N117,OFFSET(選手情報!$A$6:$M$119,AF117,0),13,FALSE)),"","/"&amp;VLOOKUP($N117,OFFSET(選手情報!$A$6:$M$119,AF117,0),13,FALSE)),"")</f>
        <v/>
      </c>
      <c r="AH117" s="127" t="str">
        <f ca="1">IF(AF117&lt;&gt;"",IF(ISNA(VLOOKUP($N117,OFFSET(選手情報!$A$6:$BD$119,AF117,0),56,FALSE)),"",VLOOKUP($N117,OFFSET(選手情報!$A$6:$BD$119,AF117,0),56,FALSE)),"")</f>
        <v/>
      </c>
      <c r="AI117" s="127" t="str">
        <f ca="1">IF(AH117&lt;&gt;"",IF(ISNA(VLOOKUP($N117,OFFSET(選手情報!$A$6:$M$119,AH117,0),13,FALSE)),"","/"&amp;VLOOKUP($N117,OFFSET(選手情報!$A$6:$M$119,AH117,0),13,FALSE)),"")</f>
        <v/>
      </c>
      <c r="AJ117" s="127" t="str">
        <f ca="1">IF(AH117&lt;&gt;"",IF(ISNA(VLOOKUP($N117,OFFSET(選手情報!$A$6:$BD$119,AH117,0),56,FALSE)),"",VLOOKUP($N117,OFFSET(選手情報!$A$6:$BD$119,AH117,0),56,FALSE)),"")</f>
        <v/>
      </c>
      <c r="AK117" s="127" t="str">
        <f ca="1">IF(AJ117&lt;&gt;"",IF(ISNA(VLOOKUP($N117,OFFSET(選手情報!$A$6:$M$119,AJ117,0),13,FALSE)),"","/"&amp;VLOOKUP($N117,OFFSET(選手情報!$A$6:$M$119,AJ117,0),13,FALSE)),"")</f>
        <v/>
      </c>
      <c r="AL117" s="127" t="str">
        <f ca="1">IF(AJ117&lt;&gt;"",IF(ISNA(VLOOKUP($N117,OFFSET(選手情報!$A$6:$BD$119,AJ117,0),56,FALSE)),"",VLOOKUP($N117,OFFSET(選手情報!$A$6:$BD$119,AJ117,0),56,FALSE)),"")</f>
        <v/>
      </c>
      <c r="AM117" s="127" t="str">
        <f ca="1">IF(AL117&lt;&gt;"",IF(ISNA(VLOOKUP($N117,OFFSET(選手情報!$A$6:$M$119,AL117,0),13,FALSE)),"","/"&amp;VLOOKUP($N117,OFFSET(選手情報!$A$6:$M$119,AL117,0),13,FALSE)),"")</f>
        <v/>
      </c>
      <c r="AN117" s="127" t="str">
        <f ca="1">IF(AL117&lt;&gt;"",IF(ISNA(VLOOKUP($N117,OFFSET(選手情報!$A$6:$BD$119,AL117,0),56,FALSE)),"",VLOOKUP($N117,OFFSET(選手情報!$A$6:$BD$119,AL117,0),56,FALSE)),"")</f>
        <v/>
      </c>
      <c r="AO117" s="127" t="str">
        <f ca="1">IF(AN117&lt;&gt;"",IF(ISNA(VLOOKUP($N117,OFFSET(選手情報!$A$6:$M$119,AN117,0),13,FALSE)),"","/"&amp;VLOOKUP($N117,OFFSET(選手情報!$A$6:$M$119,AN117,0),13,FALSE)),"")</f>
        <v/>
      </c>
      <c r="AP117" s="127" t="str">
        <f ca="1">IF(AN117&lt;&gt;"",IF(ISNA(VLOOKUP($N117,OFFSET(選手情報!$A$6:$BD$119,AN117,0),56,FALSE)),"",VLOOKUP($N117,OFFSET(選手情報!$A$6:$BD$119,AN117,0),56,FALSE)),"")</f>
        <v/>
      </c>
      <c r="AQ117" s="127" t="str">
        <f ca="1">IF(AP117&lt;&gt;"",IF(ISNA(VLOOKUP($N117,OFFSET(選手情報!$A$6:$M$119,AP117,0),13,FALSE)),"","/"&amp;VLOOKUP($N117,OFFSET(選手情報!$A$6:$M$119,AP117,0),13,FALSE)),"")</f>
        <v/>
      </c>
      <c r="AR117" s="127" t="str">
        <f ca="1">IF(AP117&lt;&gt;"",IF(ISNA(VLOOKUP($N117,OFFSET(選手情報!$A$6:$BD$119,AP117,0),56,FALSE)),"",VLOOKUP($N117,OFFSET(選手情報!$A$6:$BD$119,AP117,0),56,FALSE)),"")</f>
        <v/>
      </c>
      <c r="AS117" s="127" t="str">
        <f ca="1">IF(AR117&lt;&gt;"",IF(ISNA(VLOOKUP($N117,OFFSET(選手情報!$A$6:$M$119,AR117,0),13,FALSE)),"","/"&amp;VLOOKUP($N117,OFFSET(選手情報!$A$6:$M$119,AR117,0),13,FALSE)),"")</f>
        <v/>
      </c>
      <c r="AT117" s="127" t="str">
        <f ca="1">IF(AR117&lt;&gt;"",IF(ISNA(VLOOKUP($N117,OFFSET(選手情報!$A$6:$BD$119,AR117,0),56,FALSE)),"",VLOOKUP($N117,OFFSET(選手情報!$A$6:$BD$119,AR117,0),56,FALSE)),"")</f>
        <v/>
      </c>
      <c r="AU117" s="127" t="str">
        <f ca="1">IF(AT117&lt;&gt;"",IF(ISNA(VLOOKUP($N117,OFFSET(選手情報!$A$6:$M$119,AT117,0),13,FALSE)),"","/"&amp;VLOOKUP($N117,OFFSET(選手情報!$A$6:$M$119,AT117,0),13,FALSE)),"")</f>
        <v/>
      </c>
      <c r="AV117" s="127" t="str">
        <f ca="1">IF(AT117&lt;&gt;"",IF(ISNA(VLOOKUP($N117,OFFSET(選手情報!$A$6:$BD$119,AT117,0),56,FALSE)),"",VLOOKUP($N117,OFFSET(選手情報!$A$6:$BD$119,AT117,0),56,FALSE)),"")</f>
        <v/>
      </c>
      <c r="AW117" s="127" t="str">
        <f ca="1">IF(AV117&lt;&gt;"",IF(ISNA(VLOOKUP($N117,OFFSET(選手情報!$A$6:$M$119,AV117,0),13,FALSE)),"","/"&amp;VLOOKUP($N117,OFFSET(選手情報!$A$6:$M$119,AV117,0),13,FALSE)),"")</f>
        <v/>
      </c>
      <c r="AX117" s="127" t="str">
        <f ca="1">IF(AV117&lt;&gt;"",IF(ISNA(VLOOKUP($N117,OFFSET(選手情報!$A$6:$BD$119,AV117,0),56,FALSE)),"",VLOOKUP($N117,OFFSET(選手情報!$A$6:$BD$119,AV117,0),56,FALSE)),"")</f>
        <v/>
      </c>
      <c r="AY117" s="127" t="str">
        <f ca="1">IF(AX117&lt;&gt;"",IF(ISNA(VLOOKUP($N117,OFFSET(選手情報!$A$6:$M$119,AX117,0),13,FALSE)),"","/"&amp;VLOOKUP($N117,OFFSET(選手情報!$A$6:$M$119,AX117,0),13,FALSE)),"")</f>
        <v/>
      </c>
      <c r="AZ117" s="127" t="str">
        <f ca="1">IF(AX117&lt;&gt;"",IF(ISNA(VLOOKUP($N117,OFFSET(選手情報!$A$6:$BD$119,AX117,0),56,FALSE)),"",VLOOKUP($N117,OFFSET(選手情報!$A$6:$BD$119,AX117,0),56,FALSE)),"")</f>
        <v/>
      </c>
      <c r="BA117" s="127" t="str">
        <f ca="1">IF(AZ117&lt;&gt;"",IF(ISNA(VLOOKUP($N117,OFFSET(選手情報!$A$6:$M$119,AZ117,0),13,FALSE)),"","/"&amp;VLOOKUP($N117,OFFSET(選手情報!$A$6:$M$119,AZ117,0),13,FALSE)),"")</f>
        <v/>
      </c>
      <c r="BB117" s="127" t="str">
        <f ca="1">IF(AZ117&lt;&gt;"",IF(ISNA(VLOOKUP($N117,OFFSET(選手情報!$A$6:$BD$119,AZ117,0),56,FALSE)),"",VLOOKUP($N117,OFFSET(選手情報!$A$6:$BD$119,AZ117,0),56,FALSE)),"")</f>
        <v/>
      </c>
      <c r="BC117" s="127" t="str">
        <f ca="1">IF(BB117&lt;&gt;"",IF(ISNA(VLOOKUP($N117,OFFSET(選手情報!$A$6:$M$119,BB117,0),13,FALSE)),"","/"&amp;VLOOKUP($N117,OFFSET(選手情報!$A$6:$M$119,BB117,0),13,FALSE)),"")</f>
        <v/>
      </c>
      <c r="BD117" s="127" t="str">
        <f ca="1">IF(BB117&lt;&gt;"",IF(ISNA(VLOOKUP($N117,OFFSET(選手情報!$A$6:$BD$119,BB117,0),56,FALSE)),"",VLOOKUP($N117,OFFSET(選手情報!$A$6:$BD$119,BB117,0),56,FALSE)),"")</f>
        <v/>
      </c>
      <c r="BE117" s="127" t="str">
        <f ca="1">IF(BD117&lt;&gt;"",IF(ISNA(VLOOKUP($N117,OFFSET(選手情報!$A$6:$M$119,BD117,0),13,FALSE)),"","/"&amp;VLOOKUP($N117,OFFSET(選手情報!$A$6:$M$119,BD117,0),13,FALSE)),"")</f>
        <v/>
      </c>
      <c r="BF117" s="127" t="str">
        <f ca="1">IF(BD117&lt;&gt;"",IF(ISNA(VLOOKUP($N117,OFFSET(選手情報!$A$6:$BD$119,BD117,0),56,FALSE)),"",VLOOKUP($N117,OFFSET(選手情報!$A$6:$BD$119,BD117,0),56,FALSE)),"")</f>
        <v/>
      </c>
      <c r="BG117" s="127" t="str">
        <f ca="1">IF(BF117&lt;&gt;"",IF(ISNA(VLOOKUP($N117,OFFSET(選手情報!$A$6:$M$119,BF117,0),13,FALSE)),"","/"&amp;VLOOKUP($N117,OFFSET(選手情報!$A$6:$M$119,BF117,0),13,FALSE)),"")</f>
        <v/>
      </c>
      <c r="BH117" s="127" t="str">
        <f ca="1">IF(BF117&lt;&gt;"",IF(ISNA(VLOOKUP($N117,OFFSET(選手情報!$A$6:$BD$119,BF117,0),56,FALSE)),"",VLOOKUP($N117,OFFSET(選手情報!$A$6:$BD$119,BF117,0),56,FALSE)),"")</f>
        <v/>
      </c>
      <c r="BI117" s="127" t="str">
        <f ca="1">IF(BH117&lt;&gt;"",IF(ISNA(VLOOKUP($N117,OFFSET(選手情報!$A$6:$M$119,BH117,0),13,FALSE)),"","/"&amp;VLOOKUP($N117,OFFSET(選手情報!$A$6:$M$119,BH117,0),13,FALSE)),"")</f>
        <v/>
      </c>
    </row>
    <row r="118" spans="1:61" s="127" customFormat="1" ht="12.6" customHeight="1">
      <c r="A118" s="128" t="str">
        <f>IF(ISNA(VLOOKUP($C$2&amp;N118,選手データ!A:H,3,FALSE)),"",IF(M118&lt;&gt;M117,VLOOKUP($C$2&amp;N118,選手データ!A:H,3,FALSE),""))</f>
        <v/>
      </c>
      <c r="B118" s="129" t="str">
        <f>IF(A118&lt;&gt;"",VLOOKUP($C$2&amp;N118,選手データ!A:H,4,FALSE),"")</f>
        <v/>
      </c>
      <c r="C118" s="129" t="str">
        <f>IF(A118&lt;&gt;"",VLOOKUP($C$2&amp;N118,選手データ!A:H,5,FALSE),"")</f>
        <v/>
      </c>
      <c r="D118" s="129" t="str">
        <f>IF(A118&lt;&gt;"",VLOOKUP($C$2&amp;N118,選手データ!A:H,6,FALSE),"")</f>
        <v/>
      </c>
      <c r="E118" s="129" t="str">
        <f>IF(A118&lt;&gt;"",VLOOKUP($C$2&amp;N118,選手データ!A:H,7,FALSE),"")</f>
        <v/>
      </c>
      <c r="F118" s="130" t="str">
        <f>IF(A118&lt;&gt;"",VLOOKUP($C$2&amp;N118,選手データ!A:H,8,FALSE),"")</f>
        <v/>
      </c>
      <c r="G118" s="130" t="str">
        <f>IF(F118&lt;&gt;"",IF(DATEDIF(F118,設定!$B$12,"Y")&lt;20,"〇",""),"")</f>
        <v/>
      </c>
      <c r="H118" s="131" t="str">
        <f t="shared" ca="1" si="13"/>
        <v/>
      </c>
      <c r="I118" s="132" t="str">
        <f t="shared" ca="1" si="14"/>
        <v/>
      </c>
      <c r="J118" s="131" t="str">
        <f t="shared" ca="1" si="15"/>
        <v/>
      </c>
      <c r="K118" s="130" t="str">
        <f>IF(A118&lt;&gt;"",IF(COUNTIF(リレーチーム情報!$B$17:$B$22,A118&amp;E118)=1,"〇",""),"")</f>
        <v/>
      </c>
      <c r="L118" s="133" t="str">
        <f>IF(A118&lt;&gt;"",IF(COUNTIF(リレーチーム情報!$B$23:$B$28,A118&amp;E118)=1,"〇",""),"")</f>
        <v/>
      </c>
      <c r="M118" s="127">
        <f>IF(学校情報!$A$4&lt;&gt;"",0,IF(S117=0,MAX($M$109:M117)+1,M117))</f>
        <v>0</v>
      </c>
      <c r="N118" s="127" t="str">
        <f>IF(M118&lt;&gt;0,VLOOKUP(M118,選手情報!BI:BJ,2,FALSE),"")</f>
        <v/>
      </c>
      <c r="O118" s="127" t="str">
        <f ca="1">IF(M118&lt;&gt;0,VLOOKUP(N118,OFFSET(選手情報!$A$6:$W$119,IF(M118&lt;&gt;M117,0,R117),0),13,FALSE),"")</f>
        <v/>
      </c>
      <c r="P118" s="127" t="str">
        <f ca="1">IF(M118&lt;&gt;0,VLOOKUP(N118,OFFSET(選手情報!$A$6:$W$119,IF(M118&lt;&gt;M117,0,R117),0),16,FALSE),"")</f>
        <v/>
      </c>
      <c r="Q118" s="127" t="str">
        <f ca="1">IF(M118&lt;&gt;0,VLOOKUP(N118,OFFSET(選手情報!$A$6:$W$119,IF(M118&lt;&gt;M117,0,R117),0),21,FALSE),"")</f>
        <v/>
      </c>
      <c r="R118" s="127">
        <f ca="1">IF(M118&lt;&gt;0,VLOOKUP(N118,OFFSET(選手情報!$A$6:$BD$119,IF(M118&lt;&gt;M117,0,R117),0),56,FALSE),0)</f>
        <v>0</v>
      </c>
      <c r="S118" s="127">
        <f ca="1">IF(M118&lt;&gt;0,IF(ISNA(R118),0,COUNTIF(OFFSET(選手情報!$A$6:$A$119,R118,0),N118)),0)</f>
        <v>0</v>
      </c>
      <c r="U118" s="127">
        <f t="shared" si="16"/>
        <v>0</v>
      </c>
      <c r="V118" s="127">
        <f t="shared" ca="1" si="17"/>
        <v>1</v>
      </c>
      <c r="W118" s="127">
        <f t="shared" ca="1" si="12"/>
        <v>0</v>
      </c>
      <c r="X118" s="127" t="str">
        <f t="shared" ca="1" si="18"/>
        <v/>
      </c>
      <c r="Y118" s="127" t="str">
        <f>IF($A118&lt;&gt;"",IF(ISNA(VLOOKUP($N118,選手情報!$A$6:$M$119,13,FALSE)),"","/"&amp;VLOOKUP($N118,選手情報!$A$6:$M$119,13,FALSE)),"")</f>
        <v/>
      </c>
      <c r="Z118" s="127" t="str">
        <f ca="1">IF(Y118&lt;&gt;"",IF(ISNA(VLOOKUP($N118,OFFSET(選手情報!$A$6:$BD$119,0,0),56,FALSE)),"",VLOOKUP($N118,OFFSET(選手情報!$A$6:$BD$119,0,0),56,FALSE)),"")</f>
        <v/>
      </c>
      <c r="AA118" s="127" t="str">
        <f ca="1">IF(Z118&lt;&gt;"",IF(ISNA(VLOOKUP($N118,OFFSET(選手情報!$A$6:$M$119,Z118,0),13,FALSE)),"","/"&amp;VLOOKUP($N118,OFFSET(選手情報!$A$6:$M$119,Z118,0),13,FALSE)),"")</f>
        <v/>
      </c>
      <c r="AB118" s="127" t="str">
        <f ca="1">IF(Z118&lt;&gt;"",IF(ISNA(VLOOKUP($N118,OFFSET(選手情報!$A$6:$BD$119,Z118,0),56,FALSE)),"",VLOOKUP($N118,OFFSET(選手情報!$A$6:$BD$119,Z118,0),56,FALSE)),"")</f>
        <v/>
      </c>
      <c r="AC118" s="127" t="str">
        <f ca="1">IF(AB118&lt;&gt;"",IF(ISNA(VLOOKUP($N118,OFFSET(選手情報!$A$6:$M$119,AB118,0),13,FALSE)),"","/"&amp;VLOOKUP($N118,OFFSET(選手情報!$A$6:$M$119,AB118,0),13,FALSE)),"")</f>
        <v/>
      </c>
      <c r="AD118" s="127" t="str">
        <f ca="1">IF(AB118&lt;&gt;"",IF(ISNA(VLOOKUP($N118,OFFSET(選手情報!$A$6:$BD$119,AB118,0),56,FALSE)),"",VLOOKUP($N118,OFFSET(選手情報!$A$6:$BD$119,AB118,0),56,FALSE)),"")</f>
        <v/>
      </c>
      <c r="AE118" s="127" t="str">
        <f ca="1">IF(AD118&lt;&gt;"",IF(ISNA(VLOOKUP($N118,OFFSET(選手情報!$A$6:$M$119,AD118,0),13,FALSE)),"","/"&amp;VLOOKUP($N118,OFFSET(選手情報!$A$6:$M$119,AD118,0),13,FALSE)),"")</f>
        <v/>
      </c>
      <c r="AF118" s="127" t="str">
        <f ca="1">IF(AD118&lt;&gt;"",IF(ISNA(VLOOKUP($N118,OFFSET(選手情報!$A$6:$BD$119,AD118,0),56,FALSE)),"",VLOOKUP($N118,OFFSET(選手情報!$A$6:$BD$119,AD118,0),56,FALSE)),"")</f>
        <v/>
      </c>
      <c r="AG118" s="127" t="str">
        <f ca="1">IF(AF118&lt;&gt;"",IF(ISNA(VLOOKUP($N118,OFFSET(選手情報!$A$6:$M$119,AF118,0),13,FALSE)),"","/"&amp;VLOOKUP($N118,OFFSET(選手情報!$A$6:$M$119,AF118,0),13,FALSE)),"")</f>
        <v/>
      </c>
      <c r="AH118" s="127" t="str">
        <f ca="1">IF(AF118&lt;&gt;"",IF(ISNA(VLOOKUP($N118,OFFSET(選手情報!$A$6:$BD$119,AF118,0),56,FALSE)),"",VLOOKUP($N118,OFFSET(選手情報!$A$6:$BD$119,AF118,0),56,FALSE)),"")</f>
        <v/>
      </c>
      <c r="AI118" s="127" t="str">
        <f ca="1">IF(AH118&lt;&gt;"",IF(ISNA(VLOOKUP($N118,OFFSET(選手情報!$A$6:$M$119,AH118,0),13,FALSE)),"","/"&amp;VLOOKUP($N118,OFFSET(選手情報!$A$6:$M$119,AH118,0),13,FALSE)),"")</f>
        <v/>
      </c>
      <c r="AJ118" s="127" t="str">
        <f ca="1">IF(AH118&lt;&gt;"",IF(ISNA(VLOOKUP($N118,OFFSET(選手情報!$A$6:$BD$119,AH118,0),56,FALSE)),"",VLOOKUP($N118,OFFSET(選手情報!$A$6:$BD$119,AH118,0),56,FALSE)),"")</f>
        <v/>
      </c>
      <c r="AK118" s="127" t="str">
        <f ca="1">IF(AJ118&lt;&gt;"",IF(ISNA(VLOOKUP($N118,OFFSET(選手情報!$A$6:$M$119,AJ118,0),13,FALSE)),"","/"&amp;VLOOKUP($N118,OFFSET(選手情報!$A$6:$M$119,AJ118,0),13,FALSE)),"")</f>
        <v/>
      </c>
      <c r="AL118" s="127" t="str">
        <f ca="1">IF(AJ118&lt;&gt;"",IF(ISNA(VLOOKUP($N118,OFFSET(選手情報!$A$6:$BD$119,AJ118,0),56,FALSE)),"",VLOOKUP($N118,OFFSET(選手情報!$A$6:$BD$119,AJ118,0),56,FALSE)),"")</f>
        <v/>
      </c>
      <c r="AM118" s="127" t="str">
        <f ca="1">IF(AL118&lt;&gt;"",IF(ISNA(VLOOKUP($N118,OFFSET(選手情報!$A$6:$M$119,AL118,0),13,FALSE)),"","/"&amp;VLOOKUP($N118,OFFSET(選手情報!$A$6:$M$119,AL118,0),13,FALSE)),"")</f>
        <v/>
      </c>
      <c r="AN118" s="127" t="str">
        <f ca="1">IF(AL118&lt;&gt;"",IF(ISNA(VLOOKUP($N118,OFFSET(選手情報!$A$6:$BD$119,AL118,0),56,FALSE)),"",VLOOKUP($N118,OFFSET(選手情報!$A$6:$BD$119,AL118,0),56,FALSE)),"")</f>
        <v/>
      </c>
      <c r="AO118" s="127" t="str">
        <f ca="1">IF(AN118&lt;&gt;"",IF(ISNA(VLOOKUP($N118,OFFSET(選手情報!$A$6:$M$119,AN118,0),13,FALSE)),"","/"&amp;VLOOKUP($N118,OFFSET(選手情報!$A$6:$M$119,AN118,0),13,FALSE)),"")</f>
        <v/>
      </c>
      <c r="AP118" s="127" t="str">
        <f ca="1">IF(AN118&lt;&gt;"",IF(ISNA(VLOOKUP($N118,OFFSET(選手情報!$A$6:$BD$119,AN118,0),56,FALSE)),"",VLOOKUP($N118,OFFSET(選手情報!$A$6:$BD$119,AN118,0),56,FALSE)),"")</f>
        <v/>
      </c>
      <c r="AQ118" s="127" t="str">
        <f ca="1">IF(AP118&lt;&gt;"",IF(ISNA(VLOOKUP($N118,OFFSET(選手情報!$A$6:$M$119,AP118,0),13,FALSE)),"","/"&amp;VLOOKUP($N118,OFFSET(選手情報!$A$6:$M$119,AP118,0),13,FALSE)),"")</f>
        <v/>
      </c>
      <c r="AR118" s="127" t="str">
        <f ca="1">IF(AP118&lt;&gt;"",IF(ISNA(VLOOKUP($N118,OFFSET(選手情報!$A$6:$BD$119,AP118,0),56,FALSE)),"",VLOOKUP($N118,OFFSET(選手情報!$A$6:$BD$119,AP118,0),56,FALSE)),"")</f>
        <v/>
      </c>
      <c r="AS118" s="127" t="str">
        <f ca="1">IF(AR118&lt;&gt;"",IF(ISNA(VLOOKUP($N118,OFFSET(選手情報!$A$6:$M$119,AR118,0),13,FALSE)),"","/"&amp;VLOOKUP($N118,OFFSET(選手情報!$A$6:$M$119,AR118,0),13,FALSE)),"")</f>
        <v/>
      </c>
      <c r="AT118" s="127" t="str">
        <f ca="1">IF(AR118&lt;&gt;"",IF(ISNA(VLOOKUP($N118,OFFSET(選手情報!$A$6:$BD$119,AR118,0),56,FALSE)),"",VLOOKUP($N118,OFFSET(選手情報!$A$6:$BD$119,AR118,0),56,FALSE)),"")</f>
        <v/>
      </c>
      <c r="AU118" s="127" t="str">
        <f ca="1">IF(AT118&lt;&gt;"",IF(ISNA(VLOOKUP($N118,OFFSET(選手情報!$A$6:$M$119,AT118,0),13,FALSE)),"","/"&amp;VLOOKUP($N118,OFFSET(選手情報!$A$6:$M$119,AT118,0),13,FALSE)),"")</f>
        <v/>
      </c>
      <c r="AV118" s="127" t="str">
        <f ca="1">IF(AT118&lt;&gt;"",IF(ISNA(VLOOKUP($N118,OFFSET(選手情報!$A$6:$BD$119,AT118,0),56,FALSE)),"",VLOOKUP($N118,OFFSET(選手情報!$A$6:$BD$119,AT118,0),56,FALSE)),"")</f>
        <v/>
      </c>
      <c r="AW118" s="127" t="str">
        <f ca="1">IF(AV118&lt;&gt;"",IF(ISNA(VLOOKUP($N118,OFFSET(選手情報!$A$6:$M$119,AV118,0),13,FALSE)),"","/"&amp;VLOOKUP($N118,OFFSET(選手情報!$A$6:$M$119,AV118,0),13,FALSE)),"")</f>
        <v/>
      </c>
      <c r="AX118" s="127" t="str">
        <f ca="1">IF(AV118&lt;&gt;"",IF(ISNA(VLOOKUP($N118,OFFSET(選手情報!$A$6:$BD$119,AV118,0),56,FALSE)),"",VLOOKUP($N118,OFFSET(選手情報!$A$6:$BD$119,AV118,0),56,FALSE)),"")</f>
        <v/>
      </c>
      <c r="AY118" s="127" t="str">
        <f ca="1">IF(AX118&lt;&gt;"",IF(ISNA(VLOOKUP($N118,OFFSET(選手情報!$A$6:$M$119,AX118,0),13,FALSE)),"","/"&amp;VLOOKUP($N118,OFFSET(選手情報!$A$6:$M$119,AX118,0),13,FALSE)),"")</f>
        <v/>
      </c>
      <c r="AZ118" s="127" t="str">
        <f ca="1">IF(AX118&lt;&gt;"",IF(ISNA(VLOOKUP($N118,OFFSET(選手情報!$A$6:$BD$119,AX118,0),56,FALSE)),"",VLOOKUP($N118,OFFSET(選手情報!$A$6:$BD$119,AX118,0),56,FALSE)),"")</f>
        <v/>
      </c>
      <c r="BA118" s="127" t="str">
        <f ca="1">IF(AZ118&lt;&gt;"",IF(ISNA(VLOOKUP($N118,OFFSET(選手情報!$A$6:$M$119,AZ118,0),13,FALSE)),"","/"&amp;VLOOKUP($N118,OFFSET(選手情報!$A$6:$M$119,AZ118,0),13,FALSE)),"")</f>
        <v/>
      </c>
      <c r="BB118" s="127" t="str">
        <f ca="1">IF(AZ118&lt;&gt;"",IF(ISNA(VLOOKUP($N118,OFFSET(選手情報!$A$6:$BD$119,AZ118,0),56,FALSE)),"",VLOOKUP($N118,OFFSET(選手情報!$A$6:$BD$119,AZ118,0),56,FALSE)),"")</f>
        <v/>
      </c>
      <c r="BC118" s="127" t="str">
        <f ca="1">IF(BB118&lt;&gt;"",IF(ISNA(VLOOKUP($N118,OFFSET(選手情報!$A$6:$M$119,BB118,0),13,FALSE)),"","/"&amp;VLOOKUP($N118,OFFSET(選手情報!$A$6:$M$119,BB118,0),13,FALSE)),"")</f>
        <v/>
      </c>
      <c r="BD118" s="127" t="str">
        <f ca="1">IF(BB118&lt;&gt;"",IF(ISNA(VLOOKUP($N118,OFFSET(選手情報!$A$6:$BD$119,BB118,0),56,FALSE)),"",VLOOKUP($N118,OFFSET(選手情報!$A$6:$BD$119,BB118,0),56,FALSE)),"")</f>
        <v/>
      </c>
      <c r="BE118" s="127" t="str">
        <f ca="1">IF(BD118&lt;&gt;"",IF(ISNA(VLOOKUP($N118,OFFSET(選手情報!$A$6:$M$119,BD118,0),13,FALSE)),"","/"&amp;VLOOKUP($N118,OFFSET(選手情報!$A$6:$M$119,BD118,0),13,FALSE)),"")</f>
        <v/>
      </c>
      <c r="BF118" s="127" t="str">
        <f ca="1">IF(BD118&lt;&gt;"",IF(ISNA(VLOOKUP($N118,OFFSET(選手情報!$A$6:$BD$119,BD118,0),56,FALSE)),"",VLOOKUP($N118,OFFSET(選手情報!$A$6:$BD$119,BD118,0),56,FALSE)),"")</f>
        <v/>
      </c>
      <c r="BG118" s="127" t="str">
        <f ca="1">IF(BF118&lt;&gt;"",IF(ISNA(VLOOKUP($N118,OFFSET(選手情報!$A$6:$M$119,BF118,0),13,FALSE)),"","/"&amp;VLOOKUP($N118,OFFSET(選手情報!$A$6:$M$119,BF118,0),13,FALSE)),"")</f>
        <v/>
      </c>
      <c r="BH118" s="127" t="str">
        <f ca="1">IF(BF118&lt;&gt;"",IF(ISNA(VLOOKUP($N118,OFFSET(選手情報!$A$6:$BD$119,BF118,0),56,FALSE)),"",VLOOKUP($N118,OFFSET(選手情報!$A$6:$BD$119,BF118,0),56,FALSE)),"")</f>
        <v/>
      </c>
      <c r="BI118" s="127" t="str">
        <f ca="1">IF(BH118&lt;&gt;"",IF(ISNA(VLOOKUP($N118,OFFSET(選手情報!$A$6:$M$119,BH118,0),13,FALSE)),"","/"&amp;VLOOKUP($N118,OFFSET(選手情報!$A$6:$M$119,BH118,0),13,FALSE)),"")</f>
        <v/>
      </c>
    </row>
    <row r="119" spans="1:61" s="127" customFormat="1" ht="12.6" customHeight="1">
      <c r="A119" s="128" t="str">
        <f>IF(ISNA(VLOOKUP($C$2&amp;N119,選手データ!A:H,3,FALSE)),"",IF(M119&lt;&gt;M118,VLOOKUP($C$2&amp;N119,選手データ!A:H,3,FALSE),""))</f>
        <v/>
      </c>
      <c r="B119" s="129" t="str">
        <f>IF(A119&lt;&gt;"",VLOOKUP($C$2&amp;N119,選手データ!A:H,4,FALSE),"")</f>
        <v/>
      </c>
      <c r="C119" s="129" t="str">
        <f>IF(A119&lt;&gt;"",VLOOKUP($C$2&amp;N119,選手データ!A:H,5,FALSE),"")</f>
        <v/>
      </c>
      <c r="D119" s="129" t="str">
        <f>IF(A119&lt;&gt;"",VLOOKUP($C$2&amp;N119,選手データ!A:H,6,FALSE),"")</f>
        <v/>
      </c>
      <c r="E119" s="129" t="str">
        <f>IF(A119&lt;&gt;"",VLOOKUP($C$2&amp;N119,選手データ!A:H,7,FALSE),"")</f>
        <v/>
      </c>
      <c r="F119" s="130" t="str">
        <f>IF(A119&lt;&gt;"",VLOOKUP($C$2&amp;N119,選手データ!A:H,8,FALSE),"")</f>
        <v/>
      </c>
      <c r="G119" s="130" t="str">
        <f>IF(F119&lt;&gt;"",IF(DATEDIF(F119,設定!$B$12,"Y")&lt;20,"〇",""),"")</f>
        <v/>
      </c>
      <c r="H119" s="131" t="str">
        <f t="shared" ca="1" si="13"/>
        <v/>
      </c>
      <c r="I119" s="132" t="str">
        <f t="shared" ca="1" si="14"/>
        <v/>
      </c>
      <c r="J119" s="131" t="str">
        <f t="shared" ca="1" si="15"/>
        <v/>
      </c>
      <c r="K119" s="130" t="str">
        <f>IF(A119&lt;&gt;"",IF(COUNTIF(リレーチーム情報!$B$17:$B$22,A119&amp;E119)=1,"〇",""),"")</f>
        <v/>
      </c>
      <c r="L119" s="133" t="str">
        <f>IF(A119&lt;&gt;"",IF(COUNTIF(リレーチーム情報!$B$23:$B$28,A119&amp;E119)=1,"〇",""),"")</f>
        <v/>
      </c>
      <c r="M119" s="127">
        <f>IF(学校情報!$A$4&lt;&gt;"",0,IF(S118=0,MAX($M$109:M118)+1,M118))</f>
        <v>0</v>
      </c>
      <c r="N119" s="127" t="str">
        <f>IF(M119&lt;&gt;0,VLOOKUP(M119,選手情報!BI:BJ,2,FALSE),"")</f>
        <v/>
      </c>
      <c r="O119" s="127" t="str">
        <f ca="1">IF(M119&lt;&gt;0,VLOOKUP(N119,OFFSET(選手情報!$A$6:$W$119,IF(M119&lt;&gt;M118,0,R118),0),13,FALSE),"")</f>
        <v/>
      </c>
      <c r="P119" s="127" t="str">
        <f ca="1">IF(M119&lt;&gt;0,VLOOKUP(N119,OFFSET(選手情報!$A$6:$W$119,IF(M119&lt;&gt;M118,0,R118),0),16,FALSE),"")</f>
        <v/>
      </c>
      <c r="Q119" s="127" t="str">
        <f ca="1">IF(M119&lt;&gt;0,VLOOKUP(N119,OFFSET(選手情報!$A$6:$W$119,IF(M119&lt;&gt;M118,0,R118),0),21,FALSE),"")</f>
        <v/>
      </c>
      <c r="R119" s="127">
        <f ca="1">IF(M119&lt;&gt;0,VLOOKUP(N119,OFFSET(選手情報!$A$6:$BD$119,IF(M119&lt;&gt;M118,0,R118),0),56,FALSE),0)</f>
        <v>0</v>
      </c>
      <c r="S119" s="127">
        <f ca="1">IF(M119&lt;&gt;0,IF(ISNA(R119),0,COUNTIF(OFFSET(選手情報!$A$6:$A$119,R119,0),N119)),0)</f>
        <v>0</v>
      </c>
      <c r="U119" s="127">
        <f t="shared" si="16"/>
        <v>0</v>
      </c>
      <c r="V119" s="127">
        <f t="shared" ca="1" si="17"/>
        <v>1</v>
      </c>
      <c r="W119" s="127">
        <f t="shared" ca="1" si="12"/>
        <v>0</v>
      </c>
      <c r="X119" s="127" t="str">
        <f t="shared" ca="1" si="18"/>
        <v/>
      </c>
      <c r="Y119" s="127" t="str">
        <f>IF($A119&lt;&gt;"",IF(ISNA(VLOOKUP($N119,選手情報!$A$6:$M$119,13,FALSE)),"","/"&amp;VLOOKUP($N119,選手情報!$A$6:$M$119,13,FALSE)),"")</f>
        <v/>
      </c>
      <c r="Z119" s="127" t="str">
        <f ca="1">IF(Y119&lt;&gt;"",IF(ISNA(VLOOKUP($N119,OFFSET(選手情報!$A$6:$BD$119,0,0),56,FALSE)),"",VLOOKUP($N119,OFFSET(選手情報!$A$6:$BD$119,0,0),56,FALSE)),"")</f>
        <v/>
      </c>
      <c r="AA119" s="127" t="str">
        <f ca="1">IF(Z119&lt;&gt;"",IF(ISNA(VLOOKUP($N119,OFFSET(選手情報!$A$6:$M$119,Z119,0),13,FALSE)),"","/"&amp;VLOOKUP($N119,OFFSET(選手情報!$A$6:$M$119,Z119,0),13,FALSE)),"")</f>
        <v/>
      </c>
      <c r="AB119" s="127" t="str">
        <f ca="1">IF(Z119&lt;&gt;"",IF(ISNA(VLOOKUP($N119,OFFSET(選手情報!$A$6:$BD$119,Z119,0),56,FALSE)),"",VLOOKUP($N119,OFFSET(選手情報!$A$6:$BD$119,Z119,0),56,FALSE)),"")</f>
        <v/>
      </c>
      <c r="AC119" s="127" t="str">
        <f ca="1">IF(AB119&lt;&gt;"",IF(ISNA(VLOOKUP($N119,OFFSET(選手情報!$A$6:$M$119,AB119,0),13,FALSE)),"","/"&amp;VLOOKUP($N119,OFFSET(選手情報!$A$6:$M$119,AB119,0),13,FALSE)),"")</f>
        <v/>
      </c>
      <c r="AD119" s="127" t="str">
        <f ca="1">IF(AB119&lt;&gt;"",IF(ISNA(VLOOKUP($N119,OFFSET(選手情報!$A$6:$BD$119,AB119,0),56,FALSE)),"",VLOOKUP($N119,OFFSET(選手情報!$A$6:$BD$119,AB119,0),56,FALSE)),"")</f>
        <v/>
      </c>
      <c r="AE119" s="127" t="str">
        <f ca="1">IF(AD119&lt;&gt;"",IF(ISNA(VLOOKUP($N119,OFFSET(選手情報!$A$6:$M$119,AD119,0),13,FALSE)),"","/"&amp;VLOOKUP($N119,OFFSET(選手情報!$A$6:$M$119,AD119,0),13,FALSE)),"")</f>
        <v/>
      </c>
      <c r="AF119" s="127" t="str">
        <f ca="1">IF(AD119&lt;&gt;"",IF(ISNA(VLOOKUP($N119,OFFSET(選手情報!$A$6:$BD$119,AD119,0),56,FALSE)),"",VLOOKUP($N119,OFFSET(選手情報!$A$6:$BD$119,AD119,0),56,FALSE)),"")</f>
        <v/>
      </c>
      <c r="AG119" s="127" t="str">
        <f ca="1">IF(AF119&lt;&gt;"",IF(ISNA(VLOOKUP($N119,OFFSET(選手情報!$A$6:$M$119,AF119,0),13,FALSE)),"","/"&amp;VLOOKUP($N119,OFFSET(選手情報!$A$6:$M$119,AF119,0),13,FALSE)),"")</f>
        <v/>
      </c>
      <c r="AH119" s="127" t="str">
        <f ca="1">IF(AF119&lt;&gt;"",IF(ISNA(VLOOKUP($N119,OFFSET(選手情報!$A$6:$BD$119,AF119,0),56,FALSE)),"",VLOOKUP($N119,OFFSET(選手情報!$A$6:$BD$119,AF119,0),56,FALSE)),"")</f>
        <v/>
      </c>
      <c r="AI119" s="127" t="str">
        <f ca="1">IF(AH119&lt;&gt;"",IF(ISNA(VLOOKUP($N119,OFFSET(選手情報!$A$6:$M$119,AH119,0),13,FALSE)),"","/"&amp;VLOOKUP($N119,OFFSET(選手情報!$A$6:$M$119,AH119,0),13,FALSE)),"")</f>
        <v/>
      </c>
      <c r="AJ119" s="127" t="str">
        <f ca="1">IF(AH119&lt;&gt;"",IF(ISNA(VLOOKUP($N119,OFFSET(選手情報!$A$6:$BD$119,AH119,0),56,FALSE)),"",VLOOKUP($N119,OFFSET(選手情報!$A$6:$BD$119,AH119,0),56,FALSE)),"")</f>
        <v/>
      </c>
      <c r="AK119" s="127" t="str">
        <f ca="1">IF(AJ119&lt;&gt;"",IF(ISNA(VLOOKUP($N119,OFFSET(選手情報!$A$6:$M$119,AJ119,0),13,FALSE)),"","/"&amp;VLOOKUP($N119,OFFSET(選手情報!$A$6:$M$119,AJ119,0),13,FALSE)),"")</f>
        <v/>
      </c>
      <c r="AL119" s="127" t="str">
        <f ca="1">IF(AJ119&lt;&gt;"",IF(ISNA(VLOOKUP($N119,OFFSET(選手情報!$A$6:$BD$119,AJ119,0),56,FALSE)),"",VLOOKUP($N119,OFFSET(選手情報!$A$6:$BD$119,AJ119,0),56,FALSE)),"")</f>
        <v/>
      </c>
      <c r="AM119" s="127" t="str">
        <f ca="1">IF(AL119&lt;&gt;"",IF(ISNA(VLOOKUP($N119,OFFSET(選手情報!$A$6:$M$119,AL119,0),13,FALSE)),"","/"&amp;VLOOKUP($N119,OFFSET(選手情報!$A$6:$M$119,AL119,0),13,FALSE)),"")</f>
        <v/>
      </c>
      <c r="AN119" s="127" t="str">
        <f ca="1">IF(AL119&lt;&gt;"",IF(ISNA(VLOOKUP($N119,OFFSET(選手情報!$A$6:$BD$119,AL119,0),56,FALSE)),"",VLOOKUP($N119,OFFSET(選手情報!$A$6:$BD$119,AL119,0),56,FALSE)),"")</f>
        <v/>
      </c>
      <c r="AO119" s="127" t="str">
        <f ca="1">IF(AN119&lt;&gt;"",IF(ISNA(VLOOKUP($N119,OFFSET(選手情報!$A$6:$M$119,AN119,0),13,FALSE)),"","/"&amp;VLOOKUP($N119,OFFSET(選手情報!$A$6:$M$119,AN119,0),13,FALSE)),"")</f>
        <v/>
      </c>
      <c r="AP119" s="127" t="str">
        <f ca="1">IF(AN119&lt;&gt;"",IF(ISNA(VLOOKUP($N119,OFFSET(選手情報!$A$6:$BD$119,AN119,0),56,FALSE)),"",VLOOKUP($N119,OFFSET(選手情報!$A$6:$BD$119,AN119,0),56,FALSE)),"")</f>
        <v/>
      </c>
      <c r="AQ119" s="127" t="str">
        <f ca="1">IF(AP119&lt;&gt;"",IF(ISNA(VLOOKUP($N119,OFFSET(選手情報!$A$6:$M$119,AP119,0),13,FALSE)),"","/"&amp;VLOOKUP($N119,OFFSET(選手情報!$A$6:$M$119,AP119,0),13,FALSE)),"")</f>
        <v/>
      </c>
      <c r="AR119" s="127" t="str">
        <f ca="1">IF(AP119&lt;&gt;"",IF(ISNA(VLOOKUP($N119,OFFSET(選手情報!$A$6:$BD$119,AP119,0),56,FALSE)),"",VLOOKUP($N119,OFFSET(選手情報!$A$6:$BD$119,AP119,0),56,FALSE)),"")</f>
        <v/>
      </c>
      <c r="AS119" s="127" t="str">
        <f ca="1">IF(AR119&lt;&gt;"",IF(ISNA(VLOOKUP($N119,OFFSET(選手情報!$A$6:$M$119,AR119,0),13,FALSE)),"","/"&amp;VLOOKUP($N119,OFFSET(選手情報!$A$6:$M$119,AR119,0),13,FALSE)),"")</f>
        <v/>
      </c>
      <c r="AT119" s="127" t="str">
        <f ca="1">IF(AR119&lt;&gt;"",IF(ISNA(VLOOKUP($N119,OFFSET(選手情報!$A$6:$BD$119,AR119,0),56,FALSE)),"",VLOOKUP($N119,OFFSET(選手情報!$A$6:$BD$119,AR119,0),56,FALSE)),"")</f>
        <v/>
      </c>
      <c r="AU119" s="127" t="str">
        <f ca="1">IF(AT119&lt;&gt;"",IF(ISNA(VLOOKUP($N119,OFFSET(選手情報!$A$6:$M$119,AT119,0),13,FALSE)),"","/"&amp;VLOOKUP($N119,OFFSET(選手情報!$A$6:$M$119,AT119,0),13,FALSE)),"")</f>
        <v/>
      </c>
      <c r="AV119" s="127" t="str">
        <f ca="1">IF(AT119&lt;&gt;"",IF(ISNA(VLOOKUP($N119,OFFSET(選手情報!$A$6:$BD$119,AT119,0),56,FALSE)),"",VLOOKUP($N119,OFFSET(選手情報!$A$6:$BD$119,AT119,0),56,FALSE)),"")</f>
        <v/>
      </c>
      <c r="AW119" s="127" t="str">
        <f ca="1">IF(AV119&lt;&gt;"",IF(ISNA(VLOOKUP($N119,OFFSET(選手情報!$A$6:$M$119,AV119,0),13,FALSE)),"","/"&amp;VLOOKUP($N119,OFFSET(選手情報!$A$6:$M$119,AV119,0),13,FALSE)),"")</f>
        <v/>
      </c>
      <c r="AX119" s="127" t="str">
        <f ca="1">IF(AV119&lt;&gt;"",IF(ISNA(VLOOKUP($N119,OFFSET(選手情報!$A$6:$BD$119,AV119,0),56,FALSE)),"",VLOOKUP($N119,OFFSET(選手情報!$A$6:$BD$119,AV119,0),56,FALSE)),"")</f>
        <v/>
      </c>
      <c r="AY119" s="127" t="str">
        <f ca="1">IF(AX119&lt;&gt;"",IF(ISNA(VLOOKUP($N119,OFFSET(選手情報!$A$6:$M$119,AX119,0),13,FALSE)),"","/"&amp;VLOOKUP($N119,OFFSET(選手情報!$A$6:$M$119,AX119,0),13,FALSE)),"")</f>
        <v/>
      </c>
      <c r="AZ119" s="127" t="str">
        <f ca="1">IF(AX119&lt;&gt;"",IF(ISNA(VLOOKUP($N119,OFFSET(選手情報!$A$6:$BD$119,AX119,0),56,FALSE)),"",VLOOKUP($N119,OFFSET(選手情報!$A$6:$BD$119,AX119,0),56,FALSE)),"")</f>
        <v/>
      </c>
      <c r="BA119" s="127" t="str">
        <f ca="1">IF(AZ119&lt;&gt;"",IF(ISNA(VLOOKUP($N119,OFFSET(選手情報!$A$6:$M$119,AZ119,0),13,FALSE)),"","/"&amp;VLOOKUP($N119,OFFSET(選手情報!$A$6:$M$119,AZ119,0),13,FALSE)),"")</f>
        <v/>
      </c>
      <c r="BB119" s="127" t="str">
        <f ca="1">IF(AZ119&lt;&gt;"",IF(ISNA(VLOOKUP($N119,OFFSET(選手情報!$A$6:$BD$119,AZ119,0),56,FALSE)),"",VLOOKUP($N119,OFFSET(選手情報!$A$6:$BD$119,AZ119,0),56,FALSE)),"")</f>
        <v/>
      </c>
      <c r="BC119" s="127" t="str">
        <f ca="1">IF(BB119&lt;&gt;"",IF(ISNA(VLOOKUP($N119,OFFSET(選手情報!$A$6:$M$119,BB119,0),13,FALSE)),"","/"&amp;VLOOKUP($N119,OFFSET(選手情報!$A$6:$M$119,BB119,0),13,FALSE)),"")</f>
        <v/>
      </c>
      <c r="BD119" s="127" t="str">
        <f ca="1">IF(BB119&lt;&gt;"",IF(ISNA(VLOOKUP($N119,OFFSET(選手情報!$A$6:$BD$119,BB119,0),56,FALSE)),"",VLOOKUP($N119,OFFSET(選手情報!$A$6:$BD$119,BB119,0),56,FALSE)),"")</f>
        <v/>
      </c>
      <c r="BE119" s="127" t="str">
        <f ca="1">IF(BD119&lt;&gt;"",IF(ISNA(VLOOKUP($N119,OFFSET(選手情報!$A$6:$M$119,BD119,0),13,FALSE)),"","/"&amp;VLOOKUP($N119,OFFSET(選手情報!$A$6:$M$119,BD119,0),13,FALSE)),"")</f>
        <v/>
      </c>
      <c r="BF119" s="127" t="str">
        <f ca="1">IF(BD119&lt;&gt;"",IF(ISNA(VLOOKUP($N119,OFFSET(選手情報!$A$6:$BD$119,BD119,0),56,FALSE)),"",VLOOKUP($N119,OFFSET(選手情報!$A$6:$BD$119,BD119,0),56,FALSE)),"")</f>
        <v/>
      </c>
      <c r="BG119" s="127" t="str">
        <f ca="1">IF(BF119&lt;&gt;"",IF(ISNA(VLOOKUP($N119,OFFSET(選手情報!$A$6:$M$119,BF119,0),13,FALSE)),"","/"&amp;VLOOKUP($N119,OFFSET(選手情報!$A$6:$M$119,BF119,0),13,FALSE)),"")</f>
        <v/>
      </c>
      <c r="BH119" s="127" t="str">
        <f ca="1">IF(BF119&lt;&gt;"",IF(ISNA(VLOOKUP($N119,OFFSET(選手情報!$A$6:$BD$119,BF119,0),56,FALSE)),"",VLOOKUP($N119,OFFSET(選手情報!$A$6:$BD$119,BF119,0),56,FALSE)),"")</f>
        <v/>
      </c>
      <c r="BI119" s="127" t="str">
        <f ca="1">IF(BH119&lt;&gt;"",IF(ISNA(VLOOKUP($N119,OFFSET(選手情報!$A$6:$M$119,BH119,0),13,FALSE)),"","/"&amp;VLOOKUP($N119,OFFSET(選手情報!$A$6:$M$119,BH119,0),13,FALSE)),"")</f>
        <v/>
      </c>
    </row>
    <row r="120" spans="1:61" s="127" customFormat="1" ht="12.6" customHeight="1">
      <c r="A120" s="128" t="str">
        <f>IF(ISNA(VLOOKUP($C$2&amp;N120,選手データ!A:H,3,FALSE)),"",IF(M120&lt;&gt;M119,VLOOKUP($C$2&amp;N120,選手データ!A:H,3,FALSE),""))</f>
        <v/>
      </c>
      <c r="B120" s="129" t="str">
        <f>IF(A120&lt;&gt;"",VLOOKUP($C$2&amp;N120,選手データ!A:H,4,FALSE),"")</f>
        <v/>
      </c>
      <c r="C120" s="129" t="str">
        <f>IF(A120&lt;&gt;"",VLOOKUP($C$2&amp;N120,選手データ!A:H,5,FALSE),"")</f>
        <v/>
      </c>
      <c r="D120" s="129" t="str">
        <f>IF(A120&lt;&gt;"",VLOOKUP($C$2&amp;N120,選手データ!A:H,6,FALSE),"")</f>
        <v/>
      </c>
      <c r="E120" s="129" t="str">
        <f>IF(A120&lt;&gt;"",VLOOKUP($C$2&amp;N120,選手データ!A:H,7,FALSE),"")</f>
        <v/>
      </c>
      <c r="F120" s="130" t="str">
        <f>IF(A120&lt;&gt;"",VLOOKUP($C$2&amp;N120,選手データ!A:H,8,FALSE),"")</f>
        <v/>
      </c>
      <c r="G120" s="130" t="str">
        <f>IF(F120&lt;&gt;"",IF(DATEDIF(F120,設定!$B$12,"Y")&lt;20,"〇",""),"")</f>
        <v/>
      </c>
      <c r="H120" s="131" t="str">
        <f t="shared" ca="1" si="13"/>
        <v/>
      </c>
      <c r="I120" s="132" t="str">
        <f t="shared" ca="1" si="14"/>
        <v/>
      </c>
      <c r="J120" s="131" t="str">
        <f t="shared" ca="1" si="15"/>
        <v/>
      </c>
      <c r="K120" s="130" t="str">
        <f>IF(A120&lt;&gt;"",IF(COUNTIF(リレーチーム情報!$B$17:$B$22,A120&amp;E120)=1,"〇",""),"")</f>
        <v/>
      </c>
      <c r="L120" s="133" t="str">
        <f>IF(A120&lt;&gt;"",IF(COUNTIF(リレーチーム情報!$B$23:$B$28,A120&amp;E120)=1,"〇",""),"")</f>
        <v/>
      </c>
      <c r="M120" s="127">
        <f>IF(学校情報!$A$4&lt;&gt;"",0,IF(S119=0,MAX($M$109:M119)+1,M119))</f>
        <v>0</v>
      </c>
      <c r="N120" s="127" t="str">
        <f>IF(M120&lt;&gt;0,VLOOKUP(M120,選手情報!BI:BJ,2,FALSE),"")</f>
        <v/>
      </c>
      <c r="O120" s="127" t="str">
        <f ca="1">IF(M120&lt;&gt;0,VLOOKUP(N120,OFFSET(選手情報!$A$6:$W$119,IF(M120&lt;&gt;M119,0,R119),0),13,FALSE),"")</f>
        <v/>
      </c>
      <c r="P120" s="127" t="str">
        <f ca="1">IF(M120&lt;&gt;0,VLOOKUP(N120,OFFSET(選手情報!$A$6:$W$119,IF(M120&lt;&gt;M119,0,R119),0),16,FALSE),"")</f>
        <v/>
      </c>
      <c r="Q120" s="127" t="str">
        <f ca="1">IF(M120&lt;&gt;0,VLOOKUP(N120,OFFSET(選手情報!$A$6:$W$119,IF(M120&lt;&gt;M119,0,R119),0),21,FALSE),"")</f>
        <v/>
      </c>
      <c r="R120" s="127">
        <f ca="1">IF(M120&lt;&gt;0,VLOOKUP(N120,OFFSET(選手情報!$A$6:$BD$119,IF(M120&lt;&gt;M119,0,R119),0),56,FALSE),0)</f>
        <v>0</v>
      </c>
      <c r="S120" s="127">
        <f ca="1">IF(M120&lt;&gt;0,IF(ISNA(R120),0,COUNTIF(OFFSET(選手情報!$A$6:$A$119,R120,0),N120)),0)</f>
        <v>0</v>
      </c>
      <c r="U120" s="127">
        <f t="shared" si="16"/>
        <v>0</v>
      </c>
      <c r="V120" s="127">
        <f t="shared" ca="1" si="17"/>
        <v>1</v>
      </c>
      <c r="W120" s="127">
        <f t="shared" ca="1" si="12"/>
        <v>0</v>
      </c>
      <c r="X120" s="127" t="str">
        <f t="shared" ca="1" si="18"/>
        <v/>
      </c>
      <c r="Y120" s="127" t="str">
        <f>IF($A120&lt;&gt;"",IF(ISNA(VLOOKUP($N120,選手情報!$A$6:$M$119,13,FALSE)),"","/"&amp;VLOOKUP($N120,選手情報!$A$6:$M$119,13,FALSE)),"")</f>
        <v/>
      </c>
      <c r="Z120" s="127" t="str">
        <f ca="1">IF(Y120&lt;&gt;"",IF(ISNA(VLOOKUP($N120,OFFSET(選手情報!$A$6:$BD$119,0,0),56,FALSE)),"",VLOOKUP($N120,OFFSET(選手情報!$A$6:$BD$119,0,0),56,FALSE)),"")</f>
        <v/>
      </c>
      <c r="AA120" s="127" t="str">
        <f ca="1">IF(Z120&lt;&gt;"",IF(ISNA(VLOOKUP($N120,OFFSET(選手情報!$A$6:$M$119,Z120,0),13,FALSE)),"","/"&amp;VLOOKUP($N120,OFFSET(選手情報!$A$6:$M$119,Z120,0),13,FALSE)),"")</f>
        <v/>
      </c>
      <c r="AB120" s="127" t="str">
        <f ca="1">IF(Z120&lt;&gt;"",IF(ISNA(VLOOKUP($N120,OFFSET(選手情報!$A$6:$BD$119,Z120,0),56,FALSE)),"",VLOOKUP($N120,OFFSET(選手情報!$A$6:$BD$119,Z120,0),56,FALSE)),"")</f>
        <v/>
      </c>
      <c r="AC120" s="127" t="str">
        <f ca="1">IF(AB120&lt;&gt;"",IF(ISNA(VLOOKUP($N120,OFFSET(選手情報!$A$6:$M$119,AB120,0),13,FALSE)),"","/"&amp;VLOOKUP($N120,OFFSET(選手情報!$A$6:$M$119,AB120,0),13,FALSE)),"")</f>
        <v/>
      </c>
      <c r="AD120" s="127" t="str">
        <f ca="1">IF(AB120&lt;&gt;"",IF(ISNA(VLOOKUP($N120,OFFSET(選手情報!$A$6:$BD$119,AB120,0),56,FALSE)),"",VLOOKUP($N120,OFFSET(選手情報!$A$6:$BD$119,AB120,0),56,FALSE)),"")</f>
        <v/>
      </c>
      <c r="AE120" s="127" t="str">
        <f ca="1">IF(AD120&lt;&gt;"",IF(ISNA(VLOOKUP($N120,OFFSET(選手情報!$A$6:$M$119,AD120,0),13,FALSE)),"","/"&amp;VLOOKUP($N120,OFFSET(選手情報!$A$6:$M$119,AD120,0),13,FALSE)),"")</f>
        <v/>
      </c>
      <c r="AF120" s="127" t="str">
        <f ca="1">IF(AD120&lt;&gt;"",IF(ISNA(VLOOKUP($N120,OFFSET(選手情報!$A$6:$BD$119,AD120,0),56,FALSE)),"",VLOOKUP($N120,OFFSET(選手情報!$A$6:$BD$119,AD120,0),56,FALSE)),"")</f>
        <v/>
      </c>
      <c r="AG120" s="127" t="str">
        <f ca="1">IF(AF120&lt;&gt;"",IF(ISNA(VLOOKUP($N120,OFFSET(選手情報!$A$6:$M$119,AF120,0),13,FALSE)),"","/"&amp;VLOOKUP($N120,OFFSET(選手情報!$A$6:$M$119,AF120,0),13,FALSE)),"")</f>
        <v/>
      </c>
      <c r="AH120" s="127" t="str">
        <f ca="1">IF(AF120&lt;&gt;"",IF(ISNA(VLOOKUP($N120,OFFSET(選手情報!$A$6:$BD$119,AF120,0),56,FALSE)),"",VLOOKUP($N120,OFFSET(選手情報!$A$6:$BD$119,AF120,0),56,FALSE)),"")</f>
        <v/>
      </c>
      <c r="AI120" s="127" t="str">
        <f ca="1">IF(AH120&lt;&gt;"",IF(ISNA(VLOOKUP($N120,OFFSET(選手情報!$A$6:$M$119,AH120,0),13,FALSE)),"","/"&amp;VLOOKUP($N120,OFFSET(選手情報!$A$6:$M$119,AH120,0),13,FALSE)),"")</f>
        <v/>
      </c>
      <c r="AJ120" s="127" t="str">
        <f ca="1">IF(AH120&lt;&gt;"",IF(ISNA(VLOOKUP($N120,OFFSET(選手情報!$A$6:$BD$119,AH120,0),56,FALSE)),"",VLOOKUP($N120,OFFSET(選手情報!$A$6:$BD$119,AH120,0),56,FALSE)),"")</f>
        <v/>
      </c>
      <c r="AK120" s="127" t="str">
        <f ca="1">IF(AJ120&lt;&gt;"",IF(ISNA(VLOOKUP($N120,OFFSET(選手情報!$A$6:$M$119,AJ120,0),13,FALSE)),"","/"&amp;VLOOKUP($N120,OFFSET(選手情報!$A$6:$M$119,AJ120,0),13,FALSE)),"")</f>
        <v/>
      </c>
      <c r="AL120" s="127" t="str">
        <f ca="1">IF(AJ120&lt;&gt;"",IF(ISNA(VLOOKUP($N120,OFFSET(選手情報!$A$6:$BD$119,AJ120,0),56,FALSE)),"",VLOOKUP($N120,OFFSET(選手情報!$A$6:$BD$119,AJ120,0),56,FALSE)),"")</f>
        <v/>
      </c>
      <c r="AM120" s="127" t="str">
        <f ca="1">IF(AL120&lt;&gt;"",IF(ISNA(VLOOKUP($N120,OFFSET(選手情報!$A$6:$M$119,AL120,0),13,FALSE)),"","/"&amp;VLOOKUP($N120,OFFSET(選手情報!$A$6:$M$119,AL120,0),13,FALSE)),"")</f>
        <v/>
      </c>
      <c r="AN120" s="127" t="str">
        <f ca="1">IF(AL120&lt;&gt;"",IF(ISNA(VLOOKUP($N120,OFFSET(選手情報!$A$6:$BD$119,AL120,0),56,FALSE)),"",VLOOKUP($N120,OFFSET(選手情報!$A$6:$BD$119,AL120,0),56,FALSE)),"")</f>
        <v/>
      </c>
      <c r="AO120" s="127" t="str">
        <f ca="1">IF(AN120&lt;&gt;"",IF(ISNA(VLOOKUP($N120,OFFSET(選手情報!$A$6:$M$119,AN120,0),13,FALSE)),"","/"&amp;VLOOKUP($N120,OFFSET(選手情報!$A$6:$M$119,AN120,0),13,FALSE)),"")</f>
        <v/>
      </c>
      <c r="AP120" s="127" t="str">
        <f ca="1">IF(AN120&lt;&gt;"",IF(ISNA(VLOOKUP($N120,OFFSET(選手情報!$A$6:$BD$119,AN120,0),56,FALSE)),"",VLOOKUP($N120,OFFSET(選手情報!$A$6:$BD$119,AN120,0),56,FALSE)),"")</f>
        <v/>
      </c>
      <c r="AQ120" s="127" t="str">
        <f ca="1">IF(AP120&lt;&gt;"",IF(ISNA(VLOOKUP($N120,OFFSET(選手情報!$A$6:$M$119,AP120,0),13,FALSE)),"","/"&amp;VLOOKUP($N120,OFFSET(選手情報!$A$6:$M$119,AP120,0),13,FALSE)),"")</f>
        <v/>
      </c>
      <c r="AR120" s="127" t="str">
        <f ca="1">IF(AP120&lt;&gt;"",IF(ISNA(VLOOKUP($N120,OFFSET(選手情報!$A$6:$BD$119,AP120,0),56,FALSE)),"",VLOOKUP($N120,OFFSET(選手情報!$A$6:$BD$119,AP120,0),56,FALSE)),"")</f>
        <v/>
      </c>
      <c r="AS120" s="127" t="str">
        <f ca="1">IF(AR120&lt;&gt;"",IF(ISNA(VLOOKUP($N120,OFFSET(選手情報!$A$6:$M$119,AR120,0),13,FALSE)),"","/"&amp;VLOOKUP($N120,OFFSET(選手情報!$A$6:$M$119,AR120,0),13,FALSE)),"")</f>
        <v/>
      </c>
      <c r="AT120" s="127" t="str">
        <f ca="1">IF(AR120&lt;&gt;"",IF(ISNA(VLOOKUP($N120,OFFSET(選手情報!$A$6:$BD$119,AR120,0),56,FALSE)),"",VLOOKUP($N120,OFFSET(選手情報!$A$6:$BD$119,AR120,0),56,FALSE)),"")</f>
        <v/>
      </c>
      <c r="AU120" s="127" t="str">
        <f ca="1">IF(AT120&lt;&gt;"",IF(ISNA(VLOOKUP($N120,OFFSET(選手情報!$A$6:$M$119,AT120,0),13,FALSE)),"","/"&amp;VLOOKUP($N120,OFFSET(選手情報!$A$6:$M$119,AT120,0),13,FALSE)),"")</f>
        <v/>
      </c>
      <c r="AV120" s="127" t="str">
        <f ca="1">IF(AT120&lt;&gt;"",IF(ISNA(VLOOKUP($N120,OFFSET(選手情報!$A$6:$BD$119,AT120,0),56,FALSE)),"",VLOOKUP($N120,OFFSET(選手情報!$A$6:$BD$119,AT120,0),56,FALSE)),"")</f>
        <v/>
      </c>
      <c r="AW120" s="127" t="str">
        <f ca="1">IF(AV120&lt;&gt;"",IF(ISNA(VLOOKUP($N120,OFFSET(選手情報!$A$6:$M$119,AV120,0),13,FALSE)),"","/"&amp;VLOOKUP($N120,OFFSET(選手情報!$A$6:$M$119,AV120,0),13,FALSE)),"")</f>
        <v/>
      </c>
      <c r="AX120" s="127" t="str">
        <f ca="1">IF(AV120&lt;&gt;"",IF(ISNA(VLOOKUP($N120,OFFSET(選手情報!$A$6:$BD$119,AV120,0),56,FALSE)),"",VLOOKUP($N120,OFFSET(選手情報!$A$6:$BD$119,AV120,0),56,FALSE)),"")</f>
        <v/>
      </c>
      <c r="AY120" s="127" t="str">
        <f ca="1">IF(AX120&lt;&gt;"",IF(ISNA(VLOOKUP($N120,OFFSET(選手情報!$A$6:$M$119,AX120,0),13,FALSE)),"","/"&amp;VLOOKUP($N120,OFFSET(選手情報!$A$6:$M$119,AX120,0),13,FALSE)),"")</f>
        <v/>
      </c>
      <c r="AZ120" s="127" t="str">
        <f ca="1">IF(AX120&lt;&gt;"",IF(ISNA(VLOOKUP($N120,OFFSET(選手情報!$A$6:$BD$119,AX120,0),56,FALSE)),"",VLOOKUP($N120,OFFSET(選手情報!$A$6:$BD$119,AX120,0),56,FALSE)),"")</f>
        <v/>
      </c>
      <c r="BA120" s="127" t="str">
        <f ca="1">IF(AZ120&lt;&gt;"",IF(ISNA(VLOOKUP($N120,OFFSET(選手情報!$A$6:$M$119,AZ120,0),13,FALSE)),"","/"&amp;VLOOKUP($N120,OFFSET(選手情報!$A$6:$M$119,AZ120,0),13,FALSE)),"")</f>
        <v/>
      </c>
      <c r="BB120" s="127" t="str">
        <f ca="1">IF(AZ120&lt;&gt;"",IF(ISNA(VLOOKUP($N120,OFFSET(選手情報!$A$6:$BD$119,AZ120,0),56,FALSE)),"",VLOOKUP($N120,OFFSET(選手情報!$A$6:$BD$119,AZ120,0),56,FALSE)),"")</f>
        <v/>
      </c>
      <c r="BC120" s="127" t="str">
        <f ca="1">IF(BB120&lt;&gt;"",IF(ISNA(VLOOKUP($N120,OFFSET(選手情報!$A$6:$M$119,BB120,0),13,FALSE)),"","/"&amp;VLOOKUP($N120,OFFSET(選手情報!$A$6:$M$119,BB120,0),13,FALSE)),"")</f>
        <v/>
      </c>
      <c r="BD120" s="127" t="str">
        <f ca="1">IF(BB120&lt;&gt;"",IF(ISNA(VLOOKUP($N120,OFFSET(選手情報!$A$6:$BD$119,BB120,0),56,FALSE)),"",VLOOKUP($N120,OFFSET(選手情報!$A$6:$BD$119,BB120,0),56,FALSE)),"")</f>
        <v/>
      </c>
      <c r="BE120" s="127" t="str">
        <f ca="1">IF(BD120&lt;&gt;"",IF(ISNA(VLOOKUP($N120,OFFSET(選手情報!$A$6:$M$119,BD120,0),13,FALSE)),"","/"&amp;VLOOKUP($N120,OFFSET(選手情報!$A$6:$M$119,BD120,0),13,FALSE)),"")</f>
        <v/>
      </c>
      <c r="BF120" s="127" t="str">
        <f ca="1">IF(BD120&lt;&gt;"",IF(ISNA(VLOOKUP($N120,OFFSET(選手情報!$A$6:$BD$119,BD120,0),56,FALSE)),"",VLOOKUP($N120,OFFSET(選手情報!$A$6:$BD$119,BD120,0),56,FALSE)),"")</f>
        <v/>
      </c>
      <c r="BG120" s="127" t="str">
        <f ca="1">IF(BF120&lt;&gt;"",IF(ISNA(VLOOKUP($N120,OFFSET(選手情報!$A$6:$M$119,BF120,0),13,FALSE)),"","/"&amp;VLOOKUP($N120,OFFSET(選手情報!$A$6:$M$119,BF120,0),13,FALSE)),"")</f>
        <v/>
      </c>
      <c r="BH120" s="127" t="str">
        <f ca="1">IF(BF120&lt;&gt;"",IF(ISNA(VLOOKUP($N120,OFFSET(選手情報!$A$6:$BD$119,BF120,0),56,FALSE)),"",VLOOKUP($N120,OFFSET(選手情報!$A$6:$BD$119,BF120,0),56,FALSE)),"")</f>
        <v/>
      </c>
      <c r="BI120" s="127" t="str">
        <f ca="1">IF(BH120&lt;&gt;"",IF(ISNA(VLOOKUP($N120,OFFSET(選手情報!$A$6:$M$119,BH120,0),13,FALSE)),"","/"&amp;VLOOKUP($N120,OFFSET(選手情報!$A$6:$M$119,BH120,0),13,FALSE)),"")</f>
        <v/>
      </c>
    </row>
    <row r="121" spans="1:61" s="127" customFormat="1" ht="12.6" customHeight="1">
      <c r="A121" s="128" t="str">
        <f>IF(ISNA(VLOOKUP($C$2&amp;N121,選手データ!A:H,3,FALSE)),"",IF(M121&lt;&gt;M120,VLOOKUP($C$2&amp;N121,選手データ!A:H,3,FALSE),""))</f>
        <v/>
      </c>
      <c r="B121" s="129" t="str">
        <f>IF(A121&lt;&gt;"",VLOOKUP($C$2&amp;N121,選手データ!A:H,4,FALSE),"")</f>
        <v/>
      </c>
      <c r="C121" s="129" t="str">
        <f>IF(A121&lt;&gt;"",VLOOKUP($C$2&amp;N121,選手データ!A:H,5,FALSE),"")</f>
        <v/>
      </c>
      <c r="D121" s="129" t="str">
        <f>IF(A121&lt;&gt;"",VLOOKUP($C$2&amp;N121,選手データ!A:H,6,FALSE),"")</f>
        <v/>
      </c>
      <c r="E121" s="129" t="str">
        <f>IF(A121&lt;&gt;"",VLOOKUP($C$2&amp;N121,選手データ!A:H,7,FALSE),"")</f>
        <v/>
      </c>
      <c r="F121" s="130" t="str">
        <f>IF(A121&lt;&gt;"",VLOOKUP($C$2&amp;N121,選手データ!A:H,8,FALSE),"")</f>
        <v/>
      </c>
      <c r="G121" s="130" t="str">
        <f>IF(F121&lt;&gt;"",IF(DATEDIF(F121,設定!$B$12,"Y")&lt;20,"〇",""),"")</f>
        <v/>
      </c>
      <c r="H121" s="131" t="str">
        <f t="shared" ca="1" si="13"/>
        <v/>
      </c>
      <c r="I121" s="132" t="str">
        <f t="shared" ca="1" si="14"/>
        <v/>
      </c>
      <c r="J121" s="131" t="str">
        <f t="shared" ca="1" si="15"/>
        <v/>
      </c>
      <c r="K121" s="130" t="str">
        <f>IF(A121&lt;&gt;"",IF(COUNTIF(リレーチーム情報!$B$17:$B$22,A121&amp;E121)=1,"〇",""),"")</f>
        <v/>
      </c>
      <c r="L121" s="133" t="str">
        <f>IF(A121&lt;&gt;"",IF(COUNTIF(リレーチーム情報!$B$23:$B$28,A121&amp;E121)=1,"〇",""),"")</f>
        <v/>
      </c>
      <c r="M121" s="127">
        <f>IF(学校情報!$A$4&lt;&gt;"",0,IF(S120=0,MAX($M$109:M120)+1,M120))</f>
        <v>0</v>
      </c>
      <c r="N121" s="127" t="str">
        <f>IF(M121&lt;&gt;0,VLOOKUP(M121,選手情報!BI:BJ,2,FALSE),"")</f>
        <v/>
      </c>
      <c r="O121" s="127" t="str">
        <f ca="1">IF(M121&lt;&gt;0,VLOOKUP(N121,OFFSET(選手情報!$A$6:$W$119,IF(M121&lt;&gt;M120,0,R120),0),13,FALSE),"")</f>
        <v/>
      </c>
      <c r="P121" s="127" t="str">
        <f ca="1">IF(M121&lt;&gt;0,VLOOKUP(N121,OFFSET(選手情報!$A$6:$W$119,IF(M121&lt;&gt;M120,0,R120),0),16,FALSE),"")</f>
        <v/>
      </c>
      <c r="Q121" s="127" t="str">
        <f ca="1">IF(M121&lt;&gt;0,VLOOKUP(N121,OFFSET(選手情報!$A$6:$W$119,IF(M121&lt;&gt;M120,0,R120),0),21,FALSE),"")</f>
        <v/>
      </c>
      <c r="R121" s="127">
        <f ca="1">IF(M121&lt;&gt;0,VLOOKUP(N121,OFFSET(選手情報!$A$6:$BD$119,IF(M121&lt;&gt;M120,0,R120),0),56,FALSE),0)</f>
        <v>0</v>
      </c>
      <c r="S121" s="127">
        <f ca="1">IF(M121&lt;&gt;0,IF(ISNA(R121),0,COUNTIF(OFFSET(選手情報!$A$6:$A$119,R121,0),N121)),0)</f>
        <v>0</v>
      </c>
      <c r="U121" s="127">
        <f t="shared" si="16"/>
        <v>0</v>
      </c>
      <c r="V121" s="127">
        <f t="shared" ca="1" si="17"/>
        <v>1</v>
      </c>
      <c r="W121" s="127">
        <f t="shared" ca="1" si="12"/>
        <v>0</v>
      </c>
      <c r="X121" s="127" t="str">
        <f t="shared" ca="1" si="18"/>
        <v/>
      </c>
      <c r="Y121" s="127" t="str">
        <f>IF($A121&lt;&gt;"",IF(ISNA(VLOOKUP($N121,選手情報!$A$6:$M$119,13,FALSE)),"","/"&amp;VLOOKUP($N121,選手情報!$A$6:$M$119,13,FALSE)),"")</f>
        <v/>
      </c>
      <c r="Z121" s="127" t="str">
        <f ca="1">IF(Y121&lt;&gt;"",IF(ISNA(VLOOKUP($N121,OFFSET(選手情報!$A$6:$BD$119,0,0),56,FALSE)),"",VLOOKUP($N121,OFFSET(選手情報!$A$6:$BD$119,0,0),56,FALSE)),"")</f>
        <v/>
      </c>
      <c r="AA121" s="127" t="str">
        <f ca="1">IF(Z121&lt;&gt;"",IF(ISNA(VLOOKUP($N121,OFFSET(選手情報!$A$6:$M$119,Z121,0),13,FALSE)),"","/"&amp;VLOOKUP($N121,OFFSET(選手情報!$A$6:$M$119,Z121,0),13,FALSE)),"")</f>
        <v/>
      </c>
      <c r="AB121" s="127" t="str">
        <f ca="1">IF(Z121&lt;&gt;"",IF(ISNA(VLOOKUP($N121,OFFSET(選手情報!$A$6:$BD$119,Z121,0),56,FALSE)),"",VLOOKUP($N121,OFFSET(選手情報!$A$6:$BD$119,Z121,0),56,FALSE)),"")</f>
        <v/>
      </c>
      <c r="AC121" s="127" t="str">
        <f ca="1">IF(AB121&lt;&gt;"",IF(ISNA(VLOOKUP($N121,OFFSET(選手情報!$A$6:$M$119,AB121,0),13,FALSE)),"","/"&amp;VLOOKUP($N121,OFFSET(選手情報!$A$6:$M$119,AB121,0),13,FALSE)),"")</f>
        <v/>
      </c>
      <c r="AD121" s="127" t="str">
        <f ca="1">IF(AB121&lt;&gt;"",IF(ISNA(VLOOKUP($N121,OFFSET(選手情報!$A$6:$BD$119,AB121,0),56,FALSE)),"",VLOOKUP($N121,OFFSET(選手情報!$A$6:$BD$119,AB121,0),56,FALSE)),"")</f>
        <v/>
      </c>
      <c r="AE121" s="127" t="str">
        <f ca="1">IF(AD121&lt;&gt;"",IF(ISNA(VLOOKUP($N121,OFFSET(選手情報!$A$6:$M$119,AD121,0),13,FALSE)),"","/"&amp;VLOOKUP($N121,OFFSET(選手情報!$A$6:$M$119,AD121,0),13,FALSE)),"")</f>
        <v/>
      </c>
      <c r="AF121" s="127" t="str">
        <f ca="1">IF(AD121&lt;&gt;"",IF(ISNA(VLOOKUP($N121,OFFSET(選手情報!$A$6:$BD$119,AD121,0),56,FALSE)),"",VLOOKUP($N121,OFFSET(選手情報!$A$6:$BD$119,AD121,0),56,FALSE)),"")</f>
        <v/>
      </c>
      <c r="AG121" s="127" t="str">
        <f ca="1">IF(AF121&lt;&gt;"",IF(ISNA(VLOOKUP($N121,OFFSET(選手情報!$A$6:$M$119,AF121,0),13,FALSE)),"","/"&amp;VLOOKUP($N121,OFFSET(選手情報!$A$6:$M$119,AF121,0),13,FALSE)),"")</f>
        <v/>
      </c>
      <c r="AH121" s="127" t="str">
        <f ca="1">IF(AF121&lt;&gt;"",IF(ISNA(VLOOKUP($N121,OFFSET(選手情報!$A$6:$BD$119,AF121,0),56,FALSE)),"",VLOOKUP($N121,OFFSET(選手情報!$A$6:$BD$119,AF121,0),56,FALSE)),"")</f>
        <v/>
      </c>
      <c r="AI121" s="127" t="str">
        <f ca="1">IF(AH121&lt;&gt;"",IF(ISNA(VLOOKUP($N121,OFFSET(選手情報!$A$6:$M$119,AH121,0),13,FALSE)),"","/"&amp;VLOOKUP($N121,OFFSET(選手情報!$A$6:$M$119,AH121,0),13,FALSE)),"")</f>
        <v/>
      </c>
      <c r="AJ121" s="127" t="str">
        <f ca="1">IF(AH121&lt;&gt;"",IF(ISNA(VLOOKUP($N121,OFFSET(選手情報!$A$6:$BD$119,AH121,0),56,FALSE)),"",VLOOKUP($N121,OFFSET(選手情報!$A$6:$BD$119,AH121,0),56,FALSE)),"")</f>
        <v/>
      </c>
      <c r="AK121" s="127" t="str">
        <f ca="1">IF(AJ121&lt;&gt;"",IF(ISNA(VLOOKUP($N121,OFFSET(選手情報!$A$6:$M$119,AJ121,0),13,FALSE)),"","/"&amp;VLOOKUP($N121,OFFSET(選手情報!$A$6:$M$119,AJ121,0),13,FALSE)),"")</f>
        <v/>
      </c>
      <c r="AL121" s="127" t="str">
        <f ca="1">IF(AJ121&lt;&gt;"",IF(ISNA(VLOOKUP($N121,OFFSET(選手情報!$A$6:$BD$119,AJ121,0),56,FALSE)),"",VLOOKUP($N121,OFFSET(選手情報!$A$6:$BD$119,AJ121,0),56,FALSE)),"")</f>
        <v/>
      </c>
      <c r="AM121" s="127" t="str">
        <f ca="1">IF(AL121&lt;&gt;"",IF(ISNA(VLOOKUP($N121,OFFSET(選手情報!$A$6:$M$119,AL121,0),13,FALSE)),"","/"&amp;VLOOKUP($N121,OFFSET(選手情報!$A$6:$M$119,AL121,0),13,FALSE)),"")</f>
        <v/>
      </c>
      <c r="AN121" s="127" t="str">
        <f ca="1">IF(AL121&lt;&gt;"",IF(ISNA(VLOOKUP($N121,OFFSET(選手情報!$A$6:$BD$119,AL121,0),56,FALSE)),"",VLOOKUP($N121,OFFSET(選手情報!$A$6:$BD$119,AL121,0),56,FALSE)),"")</f>
        <v/>
      </c>
      <c r="AO121" s="127" t="str">
        <f ca="1">IF(AN121&lt;&gt;"",IF(ISNA(VLOOKUP($N121,OFFSET(選手情報!$A$6:$M$119,AN121,0),13,FALSE)),"","/"&amp;VLOOKUP($N121,OFFSET(選手情報!$A$6:$M$119,AN121,0),13,FALSE)),"")</f>
        <v/>
      </c>
      <c r="AP121" s="127" t="str">
        <f ca="1">IF(AN121&lt;&gt;"",IF(ISNA(VLOOKUP($N121,OFFSET(選手情報!$A$6:$BD$119,AN121,0),56,FALSE)),"",VLOOKUP($N121,OFFSET(選手情報!$A$6:$BD$119,AN121,0),56,FALSE)),"")</f>
        <v/>
      </c>
      <c r="AQ121" s="127" t="str">
        <f ca="1">IF(AP121&lt;&gt;"",IF(ISNA(VLOOKUP($N121,OFFSET(選手情報!$A$6:$M$119,AP121,0),13,FALSE)),"","/"&amp;VLOOKUP($N121,OFFSET(選手情報!$A$6:$M$119,AP121,0),13,FALSE)),"")</f>
        <v/>
      </c>
      <c r="AR121" s="127" t="str">
        <f ca="1">IF(AP121&lt;&gt;"",IF(ISNA(VLOOKUP($N121,OFFSET(選手情報!$A$6:$BD$119,AP121,0),56,FALSE)),"",VLOOKUP($N121,OFFSET(選手情報!$A$6:$BD$119,AP121,0),56,FALSE)),"")</f>
        <v/>
      </c>
      <c r="AS121" s="127" t="str">
        <f ca="1">IF(AR121&lt;&gt;"",IF(ISNA(VLOOKUP($N121,OFFSET(選手情報!$A$6:$M$119,AR121,0),13,FALSE)),"","/"&amp;VLOOKUP($N121,OFFSET(選手情報!$A$6:$M$119,AR121,0),13,FALSE)),"")</f>
        <v/>
      </c>
      <c r="AT121" s="127" t="str">
        <f ca="1">IF(AR121&lt;&gt;"",IF(ISNA(VLOOKUP($N121,OFFSET(選手情報!$A$6:$BD$119,AR121,0),56,FALSE)),"",VLOOKUP($N121,OFFSET(選手情報!$A$6:$BD$119,AR121,0),56,FALSE)),"")</f>
        <v/>
      </c>
      <c r="AU121" s="127" t="str">
        <f ca="1">IF(AT121&lt;&gt;"",IF(ISNA(VLOOKUP($N121,OFFSET(選手情報!$A$6:$M$119,AT121,0),13,FALSE)),"","/"&amp;VLOOKUP($N121,OFFSET(選手情報!$A$6:$M$119,AT121,0),13,FALSE)),"")</f>
        <v/>
      </c>
      <c r="AV121" s="127" t="str">
        <f ca="1">IF(AT121&lt;&gt;"",IF(ISNA(VLOOKUP($N121,OFFSET(選手情報!$A$6:$BD$119,AT121,0),56,FALSE)),"",VLOOKUP($N121,OFFSET(選手情報!$A$6:$BD$119,AT121,0),56,FALSE)),"")</f>
        <v/>
      </c>
      <c r="AW121" s="127" t="str">
        <f ca="1">IF(AV121&lt;&gt;"",IF(ISNA(VLOOKUP($N121,OFFSET(選手情報!$A$6:$M$119,AV121,0),13,FALSE)),"","/"&amp;VLOOKUP($N121,OFFSET(選手情報!$A$6:$M$119,AV121,0),13,FALSE)),"")</f>
        <v/>
      </c>
      <c r="AX121" s="127" t="str">
        <f ca="1">IF(AV121&lt;&gt;"",IF(ISNA(VLOOKUP($N121,OFFSET(選手情報!$A$6:$BD$119,AV121,0),56,FALSE)),"",VLOOKUP($N121,OFFSET(選手情報!$A$6:$BD$119,AV121,0),56,FALSE)),"")</f>
        <v/>
      </c>
      <c r="AY121" s="127" t="str">
        <f ca="1">IF(AX121&lt;&gt;"",IF(ISNA(VLOOKUP($N121,OFFSET(選手情報!$A$6:$M$119,AX121,0),13,FALSE)),"","/"&amp;VLOOKUP($N121,OFFSET(選手情報!$A$6:$M$119,AX121,0),13,FALSE)),"")</f>
        <v/>
      </c>
      <c r="AZ121" s="127" t="str">
        <f ca="1">IF(AX121&lt;&gt;"",IF(ISNA(VLOOKUP($N121,OFFSET(選手情報!$A$6:$BD$119,AX121,0),56,FALSE)),"",VLOOKUP($N121,OFFSET(選手情報!$A$6:$BD$119,AX121,0),56,FALSE)),"")</f>
        <v/>
      </c>
      <c r="BA121" s="127" t="str">
        <f ca="1">IF(AZ121&lt;&gt;"",IF(ISNA(VLOOKUP($N121,OFFSET(選手情報!$A$6:$M$119,AZ121,0),13,FALSE)),"","/"&amp;VLOOKUP($N121,OFFSET(選手情報!$A$6:$M$119,AZ121,0),13,FALSE)),"")</f>
        <v/>
      </c>
      <c r="BB121" s="127" t="str">
        <f ca="1">IF(AZ121&lt;&gt;"",IF(ISNA(VLOOKUP($N121,OFFSET(選手情報!$A$6:$BD$119,AZ121,0),56,FALSE)),"",VLOOKUP($N121,OFFSET(選手情報!$A$6:$BD$119,AZ121,0),56,FALSE)),"")</f>
        <v/>
      </c>
      <c r="BC121" s="127" t="str">
        <f ca="1">IF(BB121&lt;&gt;"",IF(ISNA(VLOOKUP($N121,OFFSET(選手情報!$A$6:$M$119,BB121,0),13,FALSE)),"","/"&amp;VLOOKUP($N121,OFFSET(選手情報!$A$6:$M$119,BB121,0),13,FALSE)),"")</f>
        <v/>
      </c>
      <c r="BD121" s="127" t="str">
        <f ca="1">IF(BB121&lt;&gt;"",IF(ISNA(VLOOKUP($N121,OFFSET(選手情報!$A$6:$BD$119,BB121,0),56,FALSE)),"",VLOOKUP($N121,OFFSET(選手情報!$A$6:$BD$119,BB121,0),56,FALSE)),"")</f>
        <v/>
      </c>
      <c r="BE121" s="127" t="str">
        <f ca="1">IF(BD121&lt;&gt;"",IF(ISNA(VLOOKUP($N121,OFFSET(選手情報!$A$6:$M$119,BD121,0),13,FALSE)),"","/"&amp;VLOOKUP($N121,OFFSET(選手情報!$A$6:$M$119,BD121,0),13,FALSE)),"")</f>
        <v/>
      </c>
      <c r="BF121" s="127" t="str">
        <f ca="1">IF(BD121&lt;&gt;"",IF(ISNA(VLOOKUP($N121,OFFSET(選手情報!$A$6:$BD$119,BD121,0),56,FALSE)),"",VLOOKUP($N121,OFFSET(選手情報!$A$6:$BD$119,BD121,0),56,FALSE)),"")</f>
        <v/>
      </c>
      <c r="BG121" s="127" t="str">
        <f ca="1">IF(BF121&lt;&gt;"",IF(ISNA(VLOOKUP($N121,OFFSET(選手情報!$A$6:$M$119,BF121,0),13,FALSE)),"","/"&amp;VLOOKUP($N121,OFFSET(選手情報!$A$6:$M$119,BF121,0),13,FALSE)),"")</f>
        <v/>
      </c>
      <c r="BH121" s="127" t="str">
        <f ca="1">IF(BF121&lt;&gt;"",IF(ISNA(VLOOKUP($N121,OFFSET(選手情報!$A$6:$BD$119,BF121,0),56,FALSE)),"",VLOOKUP($N121,OFFSET(選手情報!$A$6:$BD$119,BF121,0),56,FALSE)),"")</f>
        <v/>
      </c>
      <c r="BI121" s="127" t="str">
        <f ca="1">IF(BH121&lt;&gt;"",IF(ISNA(VLOOKUP($N121,OFFSET(選手情報!$A$6:$M$119,BH121,0),13,FALSE)),"","/"&amp;VLOOKUP($N121,OFFSET(選手情報!$A$6:$M$119,BH121,0),13,FALSE)),"")</f>
        <v/>
      </c>
    </row>
    <row r="122" spans="1:61" s="127" customFormat="1" ht="12.6" customHeight="1">
      <c r="A122" s="128" t="str">
        <f>IF(ISNA(VLOOKUP($C$2&amp;N122,選手データ!A:H,3,FALSE)),"",IF(M122&lt;&gt;M121,VLOOKUP($C$2&amp;N122,選手データ!A:H,3,FALSE),""))</f>
        <v/>
      </c>
      <c r="B122" s="129" t="str">
        <f>IF(A122&lt;&gt;"",VLOOKUP($C$2&amp;N122,選手データ!A:H,4,FALSE),"")</f>
        <v/>
      </c>
      <c r="C122" s="129" t="str">
        <f>IF(A122&lt;&gt;"",VLOOKUP($C$2&amp;N122,選手データ!A:H,5,FALSE),"")</f>
        <v/>
      </c>
      <c r="D122" s="129" t="str">
        <f>IF(A122&lt;&gt;"",VLOOKUP($C$2&amp;N122,選手データ!A:H,6,FALSE),"")</f>
        <v/>
      </c>
      <c r="E122" s="129" t="str">
        <f>IF(A122&lt;&gt;"",VLOOKUP($C$2&amp;N122,選手データ!A:H,7,FALSE),"")</f>
        <v/>
      </c>
      <c r="F122" s="130" t="str">
        <f>IF(A122&lt;&gt;"",VLOOKUP($C$2&amp;N122,選手データ!A:H,8,FALSE),"")</f>
        <v/>
      </c>
      <c r="G122" s="130" t="str">
        <f>IF(F122&lt;&gt;"",IF(DATEDIF(F122,設定!$B$12,"Y")&lt;20,"〇",""),"")</f>
        <v/>
      </c>
      <c r="H122" s="131" t="str">
        <f t="shared" ca="1" si="13"/>
        <v/>
      </c>
      <c r="I122" s="132" t="str">
        <f t="shared" ca="1" si="14"/>
        <v/>
      </c>
      <c r="J122" s="131" t="str">
        <f t="shared" ca="1" si="15"/>
        <v/>
      </c>
      <c r="K122" s="130" t="str">
        <f>IF(A122&lt;&gt;"",IF(COUNTIF(リレーチーム情報!$B$17:$B$22,A122&amp;E122)=1,"〇",""),"")</f>
        <v/>
      </c>
      <c r="L122" s="133" t="str">
        <f>IF(A122&lt;&gt;"",IF(COUNTIF(リレーチーム情報!$B$23:$B$28,A122&amp;E122)=1,"〇",""),"")</f>
        <v/>
      </c>
      <c r="M122" s="127">
        <f>IF(学校情報!$A$4&lt;&gt;"",0,IF(S121=0,MAX($M$109:M121)+1,M121))</f>
        <v>0</v>
      </c>
      <c r="N122" s="127" t="str">
        <f>IF(M122&lt;&gt;0,VLOOKUP(M122,選手情報!BI:BJ,2,FALSE),"")</f>
        <v/>
      </c>
      <c r="O122" s="127" t="str">
        <f ca="1">IF(M122&lt;&gt;0,VLOOKUP(N122,OFFSET(選手情報!$A$6:$W$119,IF(M122&lt;&gt;M121,0,R121),0),13,FALSE),"")</f>
        <v/>
      </c>
      <c r="P122" s="127" t="str">
        <f ca="1">IF(M122&lt;&gt;0,VLOOKUP(N122,OFFSET(選手情報!$A$6:$W$119,IF(M122&lt;&gt;M121,0,R121),0),16,FALSE),"")</f>
        <v/>
      </c>
      <c r="Q122" s="127" t="str">
        <f ca="1">IF(M122&lt;&gt;0,VLOOKUP(N122,OFFSET(選手情報!$A$6:$W$119,IF(M122&lt;&gt;M121,0,R121),0),21,FALSE),"")</f>
        <v/>
      </c>
      <c r="R122" s="127">
        <f ca="1">IF(M122&lt;&gt;0,VLOOKUP(N122,OFFSET(選手情報!$A$6:$BD$119,IF(M122&lt;&gt;M121,0,R121),0),56,FALSE),0)</f>
        <v>0</v>
      </c>
      <c r="S122" s="127">
        <f ca="1">IF(M122&lt;&gt;0,IF(ISNA(R122),0,COUNTIF(OFFSET(選手情報!$A$6:$A$119,R122,0),N122)),0)</f>
        <v>0</v>
      </c>
      <c r="U122" s="127">
        <f t="shared" si="16"/>
        <v>0</v>
      </c>
      <c r="V122" s="127">
        <f t="shared" ca="1" si="17"/>
        <v>1</v>
      </c>
      <c r="W122" s="127">
        <f t="shared" ca="1" si="12"/>
        <v>0</v>
      </c>
      <c r="X122" s="127" t="str">
        <f t="shared" ca="1" si="18"/>
        <v/>
      </c>
      <c r="Y122" s="127" t="str">
        <f>IF($A122&lt;&gt;"",IF(ISNA(VLOOKUP($N122,選手情報!$A$6:$M$119,13,FALSE)),"","/"&amp;VLOOKUP($N122,選手情報!$A$6:$M$119,13,FALSE)),"")</f>
        <v/>
      </c>
      <c r="Z122" s="127" t="str">
        <f ca="1">IF(Y122&lt;&gt;"",IF(ISNA(VLOOKUP($N122,OFFSET(選手情報!$A$6:$BD$119,0,0),56,FALSE)),"",VLOOKUP($N122,OFFSET(選手情報!$A$6:$BD$119,0,0),56,FALSE)),"")</f>
        <v/>
      </c>
      <c r="AA122" s="127" t="str">
        <f ca="1">IF(Z122&lt;&gt;"",IF(ISNA(VLOOKUP($N122,OFFSET(選手情報!$A$6:$M$119,Z122,0),13,FALSE)),"","/"&amp;VLOOKUP($N122,OFFSET(選手情報!$A$6:$M$119,Z122,0),13,FALSE)),"")</f>
        <v/>
      </c>
      <c r="AB122" s="127" t="str">
        <f ca="1">IF(Z122&lt;&gt;"",IF(ISNA(VLOOKUP($N122,OFFSET(選手情報!$A$6:$BD$119,Z122,0),56,FALSE)),"",VLOOKUP($N122,OFFSET(選手情報!$A$6:$BD$119,Z122,0),56,FALSE)),"")</f>
        <v/>
      </c>
      <c r="AC122" s="127" t="str">
        <f ca="1">IF(AB122&lt;&gt;"",IF(ISNA(VLOOKUP($N122,OFFSET(選手情報!$A$6:$M$119,AB122,0),13,FALSE)),"","/"&amp;VLOOKUP($N122,OFFSET(選手情報!$A$6:$M$119,AB122,0),13,FALSE)),"")</f>
        <v/>
      </c>
      <c r="AD122" s="127" t="str">
        <f ca="1">IF(AB122&lt;&gt;"",IF(ISNA(VLOOKUP($N122,OFFSET(選手情報!$A$6:$BD$119,AB122,0),56,FALSE)),"",VLOOKUP($N122,OFFSET(選手情報!$A$6:$BD$119,AB122,0),56,FALSE)),"")</f>
        <v/>
      </c>
      <c r="AE122" s="127" t="str">
        <f ca="1">IF(AD122&lt;&gt;"",IF(ISNA(VLOOKUP($N122,OFFSET(選手情報!$A$6:$M$119,AD122,0),13,FALSE)),"","/"&amp;VLOOKUP($N122,OFFSET(選手情報!$A$6:$M$119,AD122,0),13,FALSE)),"")</f>
        <v/>
      </c>
      <c r="AF122" s="127" t="str">
        <f ca="1">IF(AD122&lt;&gt;"",IF(ISNA(VLOOKUP($N122,OFFSET(選手情報!$A$6:$BD$119,AD122,0),56,FALSE)),"",VLOOKUP($N122,OFFSET(選手情報!$A$6:$BD$119,AD122,0),56,FALSE)),"")</f>
        <v/>
      </c>
      <c r="AG122" s="127" t="str">
        <f ca="1">IF(AF122&lt;&gt;"",IF(ISNA(VLOOKUP($N122,OFFSET(選手情報!$A$6:$M$119,AF122,0),13,FALSE)),"","/"&amp;VLOOKUP($N122,OFFSET(選手情報!$A$6:$M$119,AF122,0),13,FALSE)),"")</f>
        <v/>
      </c>
      <c r="AH122" s="127" t="str">
        <f ca="1">IF(AF122&lt;&gt;"",IF(ISNA(VLOOKUP($N122,OFFSET(選手情報!$A$6:$BD$119,AF122,0),56,FALSE)),"",VLOOKUP($N122,OFFSET(選手情報!$A$6:$BD$119,AF122,0),56,FALSE)),"")</f>
        <v/>
      </c>
      <c r="AI122" s="127" t="str">
        <f ca="1">IF(AH122&lt;&gt;"",IF(ISNA(VLOOKUP($N122,OFFSET(選手情報!$A$6:$M$119,AH122,0),13,FALSE)),"","/"&amp;VLOOKUP($N122,OFFSET(選手情報!$A$6:$M$119,AH122,0),13,FALSE)),"")</f>
        <v/>
      </c>
      <c r="AJ122" s="127" t="str">
        <f ca="1">IF(AH122&lt;&gt;"",IF(ISNA(VLOOKUP($N122,OFFSET(選手情報!$A$6:$BD$119,AH122,0),56,FALSE)),"",VLOOKUP($N122,OFFSET(選手情報!$A$6:$BD$119,AH122,0),56,FALSE)),"")</f>
        <v/>
      </c>
      <c r="AK122" s="127" t="str">
        <f ca="1">IF(AJ122&lt;&gt;"",IF(ISNA(VLOOKUP($N122,OFFSET(選手情報!$A$6:$M$119,AJ122,0),13,FALSE)),"","/"&amp;VLOOKUP($N122,OFFSET(選手情報!$A$6:$M$119,AJ122,0),13,FALSE)),"")</f>
        <v/>
      </c>
      <c r="AL122" s="127" t="str">
        <f ca="1">IF(AJ122&lt;&gt;"",IF(ISNA(VLOOKUP($N122,OFFSET(選手情報!$A$6:$BD$119,AJ122,0),56,FALSE)),"",VLOOKUP($N122,OFFSET(選手情報!$A$6:$BD$119,AJ122,0),56,FALSE)),"")</f>
        <v/>
      </c>
      <c r="AM122" s="127" t="str">
        <f ca="1">IF(AL122&lt;&gt;"",IF(ISNA(VLOOKUP($N122,OFFSET(選手情報!$A$6:$M$119,AL122,0),13,FALSE)),"","/"&amp;VLOOKUP($N122,OFFSET(選手情報!$A$6:$M$119,AL122,0),13,FALSE)),"")</f>
        <v/>
      </c>
      <c r="AN122" s="127" t="str">
        <f ca="1">IF(AL122&lt;&gt;"",IF(ISNA(VLOOKUP($N122,OFFSET(選手情報!$A$6:$BD$119,AL122,0),56,FALSE)),"",VLOOKUP($N122,OFFSET(選手情報!$A$6:$BD$119,AL122,0),56,FALSE)),"")</f>
        <v/>
      </c>
      <c r="AO122" s="127" t="str">
        <f ca="1">IF(AN122&lt;&gt;"",IF(ISNA(VLOOKUP($N122,OFFSET(選手情報!$A$6:$M$119,AN122,0),13,FALSE)),"","/"&amp;VLOOKUP($N122,OFFSET(選手情報!$A$6:$M$119,AN122,0),13,FALSE)),"")</f>
        <v/>
      </c>
      <c r="AP122" s="127" t="str">
        <f ca="1">IF(AN122&lt;&gt;"",IF(ISNA(VLOOKUP($N122,OFFSET(選手情報!$A$6:$BD$119,AN122,0),56,FALSE)),"",VLOOKUP($N122,OFFSET(選手情報!$A$6:$BD$119,AN122,0),56,FALSE)),"")</f>
        <v/>
      </c>
      <c r="AQ122" s="127" t="str">
        <f ca="1">IF(AP122&lt;&gt;"",IF(ISNA(VLOOKUP($N122,OFFSET(選手情報!$A$6:$M$119,AP122,0),13,FALSE)),"","/"&amp;VLOOKUP($N122,OFFSET(選手情報!$A$6:$M$119,AP122,0),13,FALSE)),"")</f>
        <v/>
      </c>
      <c r="AR122" s="127" t="str">
        <f ca="1">IF(AP122&lt;&gt;"",IF(ISNA(VLOOKUP($N122,OFFSET(選手情報!$A$6:$BD$119,AP122,0),56,FALSE)),"",VLOOKUP($N122,OFFSET(選手情報!$A$6:$BD$119,AP122,0),56,FALSE)),"")</f>
        <v/>
      </c>
      <c r="AS122" s="127" t="str">
        <f ca="1">IF(AR122&lt;&gt;"",IF(ISNA(VLOOKUP($N122,OFFSET(選手情報!$A$6:$M$119,AR122,0),13,FALSE)),"","/"&amp;VLOOKUP($N122,OFFSET(選手情報!$A$6:$M$119,AR122,0),13,FALSE)),"")</f>
        <v/>
      </c>
      <c r="AT122" s="127" t="str">
        <f ca="1">IF(AR122&lt;&gt;"",IF(ISNA(VLOOKUP($N122,OFFSET(選手情報!$A$6:$BD$119,AR122,0),56,FALSE)),"",VLOOKUP($N122,OFFSET(選手情報!$A$6:$BD$119,AR122,0),56,FALSE)),"")</f>
        <v/>
      </c>
      <c r="AU122" s="127" t="str">
        <f ca="1">IF(AT122&lt;&gt;"",IF(ISNA(VLOOKUP($N122,OFFSET(選手情報!$A$6:$M$119,AT122,0),13,FALSE)),"","/"&amp;VLOOKUP($N122,OFFSET(選手情報!$A$6:$M$119,AT122,0),13,FALSE)),"")</f>
        <v/>
      </c>
      <c r="AV122" s="127" t="str">
        <f ca="1">IF(AT122&lt;&gt;"",IF(ISNA(VLOOKUP($N122,OFFSET(選手情報!$A$6:$BD$119,AT122,0),56,FALSE)),"",VLOOKUP($N122,OFFSET(選手情報!$A$6:$BD$119,AT122,0),56,FALSE)),"")</f>
        <v/>
      </c>
      <c r="AW122" s="127" t="str">
        <f ca="1">IF(AV122&lt;&gt;"",IF(ISNA(VLOOKUP($N122,OFFSET(選手情報!$A$6:$M$119,AV122,0),13,FALSE)),"","/"&amp;VLOOKUP($N122,OFFSET(選手情報!$A$6:$M$119,AV122,0),13,FALSE)),"")</f>
        <v/>
      </c>
      <c r="AX122" s="127" t="str">
        <f ca="1">IF(AV122&lt;&gt;"",IF(ISNA(VLOOKUP($N122,OFFSET(選手情報!$A$6:$BD$119,AV122,0),56,FALSE)),"",VLOOKUP($N122,OFFSET(選手情報!$A$6:$BD$119,AV122,0),56,FALSE)),"")</f>
        <v/>
      </c>
      <c r="AY122" s="127" t="str">
        <f ca="1">IF(AX122&lt;&gt;"",IF(ISNA(VLOOKUP($N122,OFFSET(選手情報!$A$6:$M$119,AX122,0),13,FALSE)),"","/"&amp;VLOOKUP($N122,OFFSET(選手情報!$A$6:$M$119,AX122,0),13,FALSE)),"")</f>
        <v/>
      </c>
      <c r="AZ122" s="127" t="str">
        <f ca="1">IF(AX122&lt;&gt;"",IF(ISNA(VLOOKUP($N122,OFFSET(選手情報!$A$6:$BD$119,AX122,0),56,FALSE)),"",VLOOKUP($N122,OFFSET(選手情報!$A$6:$BD$119,AX122,0),56,FALSE)),"")</f>
        <v/>
      </c>
      <c r="BA122" s="127" t="str">
        <f ca="1">IF(AZ122&lt;&gt;"",IF(ISNA(VLOOKUP($N122,OFFSET(選手情報!$A$6:$M$119,AZ122,0),13,FALSE)),"","/"&amp;VLOOKUP($N122,OFFSET(選手情報!$A$6:$M$119,AZ122,0),13,FALSE)),"")</f>
        <v/>
      </c>
      <c r="BB122" s="127" t="str">
        <f ca="1">IF(AZ122&lt;&gt;"",IF(ISNA(VLOOKUP($N122,OFFSET(選手情報!$A$6:$BD$119,AZ122,0),56,FALSE)),"",VLOOKUP($N122,OFFSET(選手情報!$A$6:$BD$119,AZ122,0),56,FALSE)),"")</f>
        <v/>
      </c>
      <c r="BC122" s="127" t="str">
        <f ca="1">IF(BB122&lt;&gt;"",IF(ISNA(VLOOKUP($N122,OFFSET(選手情報!$A$6:$M$119,BB122,0),13,FALSE)),"","/"&amp;VLOOKUP($N122,OFFSET(選手情報!$A$6:$M$119,BB122,0),13,FALSE)),"")</f>
        <v/>
      </c>
      <c r="BD122" s="127" t="str">
        <f ca="1">IF(BB122&lt;&gt;"",IF(ISNA(VLOOKUP($N122,OFFSET(選手情報!$A$6:$BD$119,BB122,0),56,FALSE)),"",VLOOKUP($N122,OFFSET(選手情報!$A$6:$BD$119,BB122,0),56,FALSE)),"")</f>
        <v/>
      </c>
      <c r="BE122" s="127" t="str">
        <f ca="1">IF(BD122&lt;&gt;"",IF(ISNA(VLOOKUP($N122,OFFSET(選手情報!$A$6:$M$119,BD122,0),13,FALSE)),"","/"&amp;VLOOKUP($N122,OFFSET(選手情報!$A$6:$M$119,BD122,0),13,FALSE)),"")</f>
        <v/>
      </c>
      <c r="BF122" s="127" t="str">
        <f ca="1">IF(BD122&lt;&gt;"",IF(ISNA(VLOOKUP($N122,OFFSET(選手情報!$A$6:$BD$119,BD122,0),56,FALSE)),"",VLOOKUP($N122,OFFSET(選手情報!$A$6:$BD$119,BD122,0),56,FALSE)),"")</f>
        <v/>
      </c>
      <c r="BG122" s="127" t="str">
        <f ca="1">IF(BF122&lt;&gt;"",IF(ISNA(VLOOKUP($N122,OFFSET(選手情報!$A$6:$M$119,BF122,0),13,FALSE)),"","/"&amp;VLOOKUP($N122,OFFSET(選手情報!$A$6:$M$119,BF122,0),13,FALSE)),"")</f>
        <v/>
      </c>
      <c r="BH122" s="127" t="str">
        <f ca="1">IF(BF122&lt;&gt;"",IF(ISNA(VLOOKUP($N122,OFFSET(選手情報!$A$6:$BD$119,BF122,0),56,FALSE)),"",VLOOKUP($N122,OFFSET(選手情報!$A$6:$BD$119,BF122,0),56,FALSE)),"")</f>
        <v/>
      </c>
      <c r="BI122" s="127" t="str">
        <f ca="1">IF(BH122&lt;&gt;"",IF(ISNA(VLOOKUP($N122,OFFSET(選手情報!$A$6:$M$119,BH122,0),13,FALSE)),"","/"&amp;VLOOKUP($N122,OFFSET(選手情報!$A$6:$M$119,BH122,0),13,FALSE)),"")</f>
        <v/>
      </c>
    </row>
    <row r="123" spans="1:61" s="127" customFormat="1" ht="12.6" customHeight="1">
      <c r="A123" s="128" t="str">
        <f>IF(ISNA(VLOOKUP($C$2&amp;N123,選手データ!A:H,3,FALSE)),"",IF(M123&lt;&gt;M122,VLOOKUP($C$2&amp;N123,選手データ!A:H,3,FALSE),""))</f>
        <v/>
      </c>
      <c r="B123" s="129" t="str">
        <f>IF(A123&lt;&gt;"",VLOOKUP($C$2&amp;N123,選手データ!A:H,4,FALSE),"")</f>
        <v/>
      </c>
      <c r="C123" s="129" t="str">
        <f>IF(A123&lt;&gt;"",VLOOKUP($C$2&amp;N123,選手データ!A:H,5,FALSE),"")</f>
        <v/>
      </c>
      <c r="D123" s="129" t="str">
        <f>IF(A123&lt;&gt;"",VLOOKUP($C$2&amp;N123,選手データ!A:H,6,FALSE),"")</f>
        <v/>
      </c>
      <c r="E123" s="129" t="str">
        <f>IF(A123&lt;&gt;"",VLOOKUP($C$2&amp;N123,選手データ!A:H,7,FALSE),"")</f>
        <v/>
      </c>
      <c r="F123" s="130" t="str">
        <f>IF(A123&lt;&gt;"",VLOOKUP($C$2&amp;N123,選手データ!A:H,8,FALSE),"")</f>
        <v/>
      </c>
      <c r="G123" s="130" t="str">
        <f>IF(F123&lt;&gt;"",IF(DATEDIF(F123,設定!$B$12,"Y")&lt;20,"〇",""),"")</f>
        <v/>
      </c>
      <c r="H123" s="131" t="str">
        <f t="shared" ca="1" si="13"/>
        <v/>
      </c>
      <c r="I123" s="132" t="str">
        <f t="shared" ca="1" si="14"/>
        <v/>
      </c>
      <c r="J123" s="131" t="str">
        <f t="shared" ca="1" si="15"/>
        <v/>
      </c>
      <c r="K123" s="130" t="str">
        <f>IF(A123&lt;&gt;"",IF(COUNTIF(リレーチーム情報!$B$17:$B$22,A123&amp;E123)=1,"〇",""),"")</f>
        <v/>
      </c>
      <c r="L123" s="133" t="str">
        <f>IF(A123&lt;&gt;"",IF(COUNTIF(リレーチーム情報!$B$23:$B$28,A123&amp;E123)=1,"〇",""),"")</f>
        <v/>
      </c>
      <c r="M123" s="127">
        <f>IF(学校情報!$A$4&lt;&gt;"",0,IF(S122=0,MAX($M$109:M122)+1,M122))</f>
        <v>0</v>
      </c>
      <c r="N123" s="127" t="str">
        <f>IF(M123&lt;&gt;0,VLOOKUP(M123,選手情報!BI:BJ,2,FALSE),"")</f>
        <v/>
      </c>
      <c r="O123" s="127" t="str">
        <f ca="1">IF(M123&lt;&gt;0,VLOOKUP(N123,OFFSET(選手情報!$A$6:$W$119,IF(M123&lt;&gt;M122,0,R122),0),13,FALSE),"")</f>
        <v/>
      </c>
      <c r="P123" s="127" t="str">
        <f ca="1">IF(M123&lt;&gt;0,VLOOKUP(N123,OFFSET(選手情報!$A$6:$W$119,IF(M123&lt;&gt;M122,0,R122),0),16,FALSE),"")</f>
        <v/>
      </c>
      <c r="Q123" s="127" t="str">
        <f ca="1">IF(M123&lt;&gt;0,VLOOKUP(N123,OFFSET(選手情報!$A$6:$W$119,IF(M123&lt;&gt;M122,0,R122),0),21,FALSE),"")</f>
        <v/>
      </c>
      <c r="R123" s="127">
        <f ca="1">IF(M123&lt;&gt;0,VLOOKUP(N123,OFFSET(選手情報!$A$6:$BD$119,IF(M123&lt;&gt;M122,0,R122),0),56,FALSE),0)</f>
        <v>0</v>
      </c>
      <c r="S123" s="127">
        <f ca="1">IF(M123&lt;&gt;0,IF(ISNA(R123),0,COUNTIF(OFFSET(選手情報!$A$6:$A$119,R123,0),N123)),0)</f>
        <v>0</v>
      </c>
      <c r="U123" s="127">
        <f t="shared" si="16"/>
        <v>0</v>
      </c>
      <c r="V123" s="127">
        <f t="shared" ca="1" si="17"/>
        <v>1</v>
      </c>
      <c r="W123" s="127">
        <f t="shared" ca="1" si="12"/>
        <v>0</v>
      </c>
      <c r="X123" s="127" t="str">
        <f t="shared" ca="1" si="18"/>
        <v/>
      </c>
      <c r="Y123" s="127" t="str">
        <f>IF($A123&lt;&gt;"",IF(ISNA(VLOOKUP($N123,選手情報!$A$6:$M$119,13,FALSE)),"","/"&amp;VLOOKUP($N123,選手情報!$A$6:$M$119,13,FALSE)),"")</f>
        <v/>
      </c>
      <c r="Z123" s="127" t="str">
        <f ca="1">IF(Y123&lt;&gt;"",IF(ISNA(VLOOKUP($N123,OFFSET(選手情報!$A$6:$BD$119,0,0),56,FALSE)),"",VLOOKUP($N123,OFFSET(選手情報!$A$6:$BD$119,0,0),56,FALSE)),"")</f>
        <v/>
      </c>
      <c r="AA123" s="127" t="str">
        <f ca="1">IF(Z123&lt;&gt;"",IF(ISNA(VLOOKUP($N123,OFFSET(選手情報!$A$6:$M$119,Z123,0),13,FALSE)),"","/"&amp;VLOOKUP($N123,OFFSET(選手情報!$A$6:$M$119,Z123,0),13,FALSE)),"")</f>
        <v/>
      </c>
      <c r="AB123" s="127" t="str">
        <f ca="1">IF(Z123&lt;&gt;"",IF(ISNA(VLOOKUP($N123,OFFSET(選手情報!$A$6:$BD$119,Z123,0),56,FALSE)),"",VLOOKUP($N123,OFFSET(選手情報!$A$6:$BD$119,Z123,0),56,FALSE)),"")</f>
        <v/>
      </c>
      <c r="AC123" s="127" t="str">
        <f ca="1">IF(AB123&lt;&gt;"",IF(ISNA(VLOOKUP($N123,OFFSET(選手情報!$A$6:$M$119,AB123,0),13,FALSE)),"","/"&amp;VLOOKUP($N123,OFFSET(選手情報!$A$6:$M$119,AB123,0),13,FALSE)),"")</f>
        <v/>
      </c>
      <c r="AD123" s="127" t="str">
        <f ca="1">IF(AB123&lt;&gt;"",IF(ISNA(VLOOKUP($N123,OFFSET(選手情報!$A$6:$BD$119,AB123,0),56,FALSE)),"",VLOOKUP($N123,OFFSET(選手情報!$A$6:$BD$119,AB123,0),56,FALSE)),"")</f>
        <v/>
      </c>
      <c r="AE123" s="127" t="str">
        <f ca="1">IF(AD123&lt;&gt;"",IF(ISNA(VLOOKUP($N123,OFFSET(選手情報!$A$6:$M$119,AD123,0),13,FALSE)),"","/"&amp;VLOOKUP($N123,OFFSET(選手情報!$A$6:$M$119,AD123,0),13,FALSE)),"")</f>
        <v/>
      </c>
      <c r="AF123" s="127" t="str">
        <f ca="1">IF(AD123&lt;&gt;"",IF(ISNA(VLOOKUP($N123,OFFSET(選手情報!$A$6:$BD$119,AD123,0),56,FALSE)),"",VLOOKUP($N123,OFFSET(選手情報!$A$6:$BD$119,AD123,0),56,FALSE)),"")</f>
        <v/>
      </c>
      <c r="AG123" s="127" t="str">
        <f ca="1">IF(AF123&lt;&gt;"",IF(ISNA(VLOOKUP($N123,OFFSET(選手情報!$A$6:$M$119,AF123,0),13,FALSE)),"","/"&amp;VLOOKUP($N123,OFFSET(選手情報!$A$6:$M$119,AF123,0),13,FALSE)),"")</f>
        <v/>
      </c>
      <c r="AH123" s="127" t="str">
        <f ca="1">IF(AF123&lt;&gt;"",IF(ISNA(VLOOKUP($N123,OFFSET(選手情報!$A$6:$BD$119,AF123,0),56,FALSE)),"",VLOOKUP($N123,OFFSET(選手情報!$A$6:$BD$119,AF123,0),56,FALSE)),"")</f>
        <v/>
      </c>
      <c r="AI123" s="127" t="str">
        <f ca="1">IF(AH123&lt;&gt;"",IF(ISNA(VLOOKUP($N123,OFFSET(選手情報!$A$6:$M$119,AH123,0),13,FALSE)),"","/"&amp;VLOOKUP($N123,OFFSET(選手情報!$A$6:$M$119,AH123,0),13,FALSE)),"")</f>
        <v/>
      </c>
      <c r="AJ123" s="127" t="str">
        <f ca="1">IF(AH123&lt;&gt;"",IF(ISNA(VLOOKUP($N123,OFFSET(選手情報!$A$6:$BD$119,AH123,0),56,FALSE)),"",VLOOKUP($N123,OFFSET(選手情報!$A$6:$BD$119,AH123,0),56,FALSE)),"")</f>
        <v/>
      </c>
      <c r="AK123" s="127" t="str">
        <f ca="1">IF(AJ123&lt;&gt;"",IF(ISNA(VLOOKUP($N123,OFFSET(選手情報!$A$6:$M$119,AJ123,0),13,FALSE)),"","/"&amp;VLOOKUP($N123,OFFSET(選手情報!$A$6:$M$119,AJ123,0),13,FALSE)),"")</f>
        <v/>
      </c>
      <c r="AL123" s="127" t="str">
        <f ca="1">IF(AJ123&lt;&gt;"",IF(ISNA(VLOOKUP($N123,OFFSET(選手情報!$A$6:$BD$119,AJ123,0),56,FALSE)),"",VLOOKUP($N123,OFFSET(選手情報!$A$6:$BD$119,AJ123,0),56,FALSE)),"")</f>
        <v/>
      </c>
      <c r="AM123" s="127" t="str">
        <f ca="1">IF(AL123&lt;&gt;"",IF(ISNA(VLOOKUP($N123,OFFSET(選手情報!$A$6:$M$119,AL123,0),13,FALSE)),"","/"&amp;VLOOKUP($N123,OFFSET(選手情報!$A$6:$M$119,AL123,0),13,FALSE)),"")</f>
        <v/>
      </c>
      <c r="AN123" s="127" t="str">
        <f ca="1">IF(AL123&lt;&gt;"",IF(ISNA(VLOOKUP($N123,OFFSET(選手情報!$A$6:$BD$119,AL123,0),56,FALSE)),"",VLOOKUP($N123,OFFSET(選手情報!$A$6:$BD$119,AL123,0),56,FALSE)),"")</f>
        <v/>
      </c>
      <c r="AO123" s="127" t="str">
        <f ca="1">IF(AN123&lt;&gt;"",IF(ISNA(VLOOKUP($N123,OFFSET(選手情報!$A$6:$M$119,AN123,0),13,FALSE)),"","/"&amp;VLOOKUP($N123,OFFSET(選手情報!$A$6:$M$119,AN123,0),13,FALSE)),"")</f>
        <v/>
      </c>
      <c r="AP123" s="127" t="str">
        <f ca="1">IF(AN123&lt;&gt;"",IF(ISNA(VLOOKUP($N123,OFFSET(選手情報!$A$6:$BD$119,AN123,0),56,FALSE)),"",VLOOKUP($N123,OFFSET(選手情報!$A$6:$BD$119,AN123,0),56,FALSE)),"")</f>
        <v/>
      </c>
      <c r="AQ123" s="127" t="str">
        <f ca="1">IF(AP123&lt;&gt;"",IF(ISNA(VLOOKUP($N123,OFFSET(選手情報!$A$6:$M$119,AP123,0),13,FALSE)),"","/"&amp;VLOOKUP($N123,OFFSET(選手情報!$A$6:$M$119,AP123,0),13,FALSE)),"")</f>
        <v/>
      </c>
      <c r="AR123" s="127" t="str">
        <f ca="1">IF(AP123&lt;&gt;"",IF(ISNA(VLOOKUP($N123,OFFSET(選手情報!$A$6:$BD$119,AP123,0),56,FALSE)),"",VLOOKUP($N123,OFFSET(選手情報!$A$6:$BD$119,AP123,0),56,FALSE)),"")</f>
        <v/>
      </c>
      <c r="AS123" s="127" t="str">
        <f ca="1">IF(AR123&lt;&gt;"",IF(ISNA(VLOOKUP($N123,OFFSET(選手情報!$A$6:$M$119,AR123,0),13,FALSE)),"","/"&amp;VLOOKUP($N123,OFFSET(選手情報!$A$6:$M$119,AR123,0),13,FALSE)),"")</f>
        <v/>
      </c>
      <c r="AT123" s="127" t="str">
        <f ca="1">IF(AR123&lt;&gt;"",IF(ISNA(VLOOKUP($N123,OFFSET(選手情報!$A$6:$BD$119,AR123,0),56,FALSE)),"",VLOOKUP($N123,OFFSET(選手情報!$A$6:$BD$119,AR123,0),56,FALSE)),"")</f>
        <v/>
      </c>
      <c r="AU123" s="127" t="str">
        <f ca="1">IF(AT123&lt;&gt;"",IF(ISNA(VLOOKUP($N123,OFFSET(選手情報!$A$6:$M$119,AT123,0),13,FALSE)),"","/"&amp;VLOOKUP($N123,OFFSET(選手情報!$A$6:$M$119,AT123,0),13,FALSE)),"")</f>
        <v/>
      </c>
      <c r="AV123" s="127" t="str">
        <f ca="1">IF(AT123&lt;&gt;"",IF(ISNA(VLOOKUP($N123,OFFSET(選手情報!$A$6:$BD$119,AT123,0),56,FALSE)),"",VLOOKUP($N123,OFFSET(選手情報!$A$6:$BD$119,AT123,0),56,FALSE)),"")</f>
        <v/>
      </c>
      <c r="AW123" s="127" t="str">
        <f ca="1">IF(AV123&lt;&gt;"",IF(ISNA(VLOOKUP($N123,OFFSET(選手情報!$A$6:$M$119,AV123,0),13,FALSE)),"","/"&amp;VLOOKUP($N123,OFFSET(選手情報!$A$6:$M$119,AV123,0),13,FALSE)),"")</f>
        <v/>
      </c>
      <c r="AX123" s="127" t="str">
        <f ca="1">IF(AV123&lt;&gt;"",IF(ISNA(VLOOKUP($N123,OFFSET(選手情報!$A$6:$BD$119,AV123,0),56,FALSE)),"",VLOOKUP($N123,OFFSET(選手情報!$A$6:$BD$119,AV123,0),56,FALSE)),"")</f>
        <v/>
      </c>
      <c r="AY123" s="127" t="str">
        <f ca="1">IF(AX123&lt;&gt;"",IF(ISNA(VLOOKUP($N123,OFFSET(選手情報!$A$6:$M$119,AX123,0),13,FALSE)),"","/"&amp;VLOOKUP($N123,OFFSET(選手情報!$A$6:$M$119,AX123,0),13,FALSE)),"")</f>
        <v/>
      </c>
      <c r="AZ123" s="127" t="str">
        <f ca="1">IF(AX123&lt;&gt;"",IF(ISNA(VLOOKUP($N123,OFFSET(選手情報!$A$6:$BD$119,AX123,0),56,FALSE)),"",VLOOKUP($N123,OFFSET(選手情報!$A$6:$BD$119,AX123,0),56,FALSE)),"")</f>
        <v/>
      </c>
      <c r="BA123" s="127" t="str">
        <f ca="1">IF(AZ123&lt;&gt;"",IF(ISNA(VLOOKUP($N123,OFFSET(選手情報!$A$6:$M$119,AZ123,0),13,FALSE)),"","/"&amp;VLOOKUP($N123,OFFSET(選手情報!$A$6:$M$119,AZ123,0),13,FALSE)),"")</f>
        <v/>
      </c>
      <c r="BB123" s="127" t="str">
        <f ca="1">IF(AZ123&lt;&gt;"",IF(ISNA(VLOOKUP($N123,OFFSET(選手情報!$A$6:$BD$119,AZ123,0),56,FALSE)),"",VLOOKUP($N123,OFFSET(選手情報!$A$6:$BD$119,AZ123,0),56,FALSE)),"")</f>
        <v/>
      </c>
      <c r="BC123" s="127" t="str">
        <f ca="1">IF(BB123&lt;&gt;"",IF(ISNA(VLOOKUP($N123,OFFSET(選手情報!$A$6:$M$119,BB123,0),13,FALSE)),"","/"&amp;VLOOKUP($N123,OFFSET(選手情報!$A$6:$M$119,BB123,0),13,FALSE)),"")</f>
        <v/>
      </c>
      <c r="BD123" s="127" t="str">
        <f ca="1">IF(BB123&lt;&gt;"",IF(ISNA(VLOOKUP($N123,OFFSET(選手情報!$A$6:$BD$119,BB123,0),56,FALSE)),"",VLOOKUP($N123,OFFSET(選手情報!$A$6:$BD$119,BB123,0),56,FALSE)),"")</f>
        <v/>
      </c>
      <c r="BE123" s="127" t="str">
        <f ca="1">IF(BD123&lt;&gt;"",IF(ISNA(VLOOKUP($N123,OFFSET(選手情報!$A$6:$M$119,BD123,0),13,FALSE)),"","/"&amp;VLOOKUP($N123,OFFSET(選手情報!$A$6:$M$119,BD123,0),13,FALSE)),"")</f>
        <v/>
      </c>
      <c r="BF123" s="127" t="str">
        <f ca="1">IF(BD123&lt;&gt;"",IF(ISNA(VLOOKUP($N123,OFFSET(選手情報!$A$6:$BD$119,BD123,0),56,FALSE)),"",VLOOKUP($N123,OFFSET(選手情報!$A$6:$BD$119,BD123,0),56,FALSE)),"")</f>
        <v/>
      </c>
      <c r="BG123" s="127" t="str">
        <f ca="1">IF(BF123&lt;&gt;"",IF(ISNA(VLOOKUP($N123,OFFSET(選手情報!$A$6:$M$119,BF123,0),13,FALSE)),"","/"&amp;VLOOKUP($N123,OFFSET(選手情報!$A$6:$M$119,BF123,0),13,FALSE)),"")</f>
        <v/>
      </c>
      <c r="BH123" s="127" t="str">
        <f ca="1">IF(BF123&lt;&gt;"",IF(ISNA(VLOOKUP($N123,OFFSET(選手情報!$A$6:$BD$119,BF123,0),56,FALSE)),"",VLOOKUP($N123,OFFSET(選手情報!$A$6:$BD$119,BF123,0),56,FALSE)),"")</f>
        <v/>
      </c>
      <c r="BI123" s="127" t="str">
        <f ca="1">IF(BH123&lt;&gt;"",IF(ISNA(VLOOKUP($N123,OFFSET(選手情報!$A$6:$M$119,BH123,0),13,FALSE)),"","/"&amp;VLOOKUP($N123,OFFSET(選手情報!$A$6:$M$119,BH123,0),13,FALSE)),"")</f>
        <v/>
      </c>
    </row>
    <row r="124" spans="1:61" s="127" customFormat="1" ht="12.6" customHeight="1">
      <c r="A124" s="128" t="str">
        <f>IF(ISNA(VLOOKUP($C$2&amp;N124,選手データ!A:H,3,FALSE)),"",IF(M124&lt;&gt;M123,VLOOKUP($C$2&amp;N124,選手データ!A:H,3,FALSE),""))</f>
        <v/>
      </c>
      <c r="B124" s="129" t="str">
        <f>IF(A124&lt;&gt;"",VLOOKUP($C$2&amp;N124,選手データ!A:H,4,FALSE),"")</f>
        <v/>
      </c>
      <c r="C124" s="129" t="str">
        <f>IF(A124&lt;&gt;"",VLOOKUP($C$2&amp;N124,選手データ!A:H,5,FALSE),"")</f>
        <v/>
      </c>
      <c r="D124" s="129" t="str">
        <f>IF(A124&lt;&gt;"",VLOOKUP($C$2&amp;N124,選手データ!A:H,6,FALSE),"")</f>
        <v/>
      </c>
      <c r="E124" s="129" t="str">
        <f>IF(A124&lt;&gt;"",VLOOKUP($C$2&amp;N124,選手データ!A:H,7,FALSE),"")</f>
        <v/>
      </c>
      <c r="F124" s="130" t="str">
        <f>IF(A124&lt;&gt;"",VLOOKUP($C$2&amp;N124,選手データ!A:H,8,FALSE),"")</f>
        <v/>
      </c>
      <c r="G124" s="130" t="str">
        <f>IF(F124&lt;&gt;"",IF(DATEDIF(F124,設定!$B$12,"Y")&lt;20,"〇",""),"")</f>
        <v/>
      </c>
      <c r="H124" s="131" t="str">
        <f t="shared" ca="1" si="13"/>
        <v/>
      </c>
      <c r="I124" s="132" t="str">
        <f t="shared" ca="1" si="14"/>
        <v/>
      </c>
      <c r="J124" s="131" t="str">
        <f t="shared" ca="1" si="15"/>
        <v/>
      </c>
      <c r="K124" s="130" t="str">
        <f>IF(A124&lt;&gt;"",IF(COUNTIF(リレーチーム情報!$B$17:$B$22,A124&amp;E124)=1,"〇",""),"")</f>
        <v/>
      </c>
      <c r="L124" s="133" t="str">
        <f>IF(A124&lt;&gt;"",IF(COUNTIF(リレーチーム情報!$B$23:$B$28,A124&amp;E124)=1,"〇",""),"")</f>
        <v/>
      </c>
      <c r="M124" s="127">
        <f>IF(学校情報!$A$4&lt;&gt;"",0,IF(S123=0,MAX($M$109:M123)+1,M123))</f>
        <v>0</v>
      </c>
      <c r="N124" s="127" t="str">
        <f>IF(M124&lt;&gt;0,VLOOKUP(M124,選手情報!BI:BJ,2,FALSE),"")</f>
        <v/>
      </c>
      <c r="O124" s="127" t="str">
        <f ca="1">IF(M124&lt;&gt;0,VLOOKUP(N124,OFFSET(選手情報!$A$6:$W$119,IF(M124&lt;&gt;M123,0,R123),0),13,FALSE),"")</f>
        <v/>
      </c>
      <c r="P124" s="127" t="str">
        <f ca="1">IF(M124&lt;&gt;0,VLOOKUP(N124,OFFSET(選手情報!$A$6:$W$119,IF(M124&lt;&gt;M123,0,R123),0),16,FALSE),"")</f>
        <v/>
      </c>
      <c r="Q124" s="127" t="str">
        <f ca="1">IF(M124&lt;&gt;0,VLOOKUP(N124,OFFSET(選手情報!$A$6:$W$119,IF(M124&lt;&gt;M123,0,R123),0),21,FALSE),"")</f>
        <v/>
      </c>
      <c r="R124" s="127">
        <f ca="1">IF(M124&lt;&gt;0,VLOOKUP(N124,OFFSET(選手情報!$A$6:$BD$119,IF(M124&lt;&gt;M123,0,R123),0),56,FALSE),0)</f>
        <v>0</v>
      </c>
      <c r="S124" s="127">
        <f ca="1">IF(M124&lt;&gt;0,IF(ISNA(R124),0,COUNTIF(OFFSET(選手情報!$A$6:$A$119,R124,0),N124)),0)</f>
        <v>0</v>
      </c>
      <c r="U124" s="127">
        <f t="shared" si="16"/>
        <v>0</v>
      </c>
      <c r="V124" s="127">
        <f t="shared" ca="1" si="17"/>
        <v>1</v>
      </c>
      <c r="W124" s="127">
        <f t="shared" ca="1" si="12"/>
        <v>0</v>
      </c>
      <c r="X124" s="127" t="str">
        <f t="shared" ca="1" si="18"/>
        <v/>
      </c>
      <c r="Y124" s="127" t="str">
        <f>IF($A124&lt;&gt;"",IF(ISNA(VLOOKUP($N124,選手情報!$A$6:$M$119,13,FALSE)),"","/"&amp;VLOOKUP($N124,選手情報!$A$6:$M$119,13,FALSE)),"")</f>
        <v/>
      </c>
      <c r="Z124" s="127" t="str">
        <f ca="1">IF(Y124&lt;&gt;"",IF(ISNA(VLOOKUP($N124,OFFSET(選手情報!$A$6:$BD$119,0,0),56,FALSE)),"",VLOOKUP($N124,OFFSET(選手情報!$A$6:$BD$119,0,0),56,FALSE)),"")</f>
        <v/>
      </c>
      <c r="AA124" s="127" t="str">
        <f ca="1">IF(Z124&lt;&gt;"",IF(ISNA(VLOOKUP($N124,OFFSET(選手情報!$A$6:$M$119,Z124,0),13,FALSE)),"","/"&amp;VLOOKUP($N124,OFFSET(選手情報!$A$6:$M$119,Z124,0),13,FALSE)),"")</f>
        <v/>
      </c>
      <c r="AB124" s="127" t="str">
        <f ca="1">IF(Z124&lt;&gt;"",IF(ISNA(VLOOKUP($N124,OFFSET(選手情報!$A$6:$BD$119,Z124,0),56,FALSE)),"",VLOOKUP($N124,OFFSET(選手情報!$A$6:$BD$119,Z124,0),56,FALSE)),"")</f>
        <v/>
      </c>
      <c r="AC124" s="127" t="str">
        <f ca="1">IF(AB124&lt;&gt;"",IF(ISNA(VLOOKUP($N124,OFFSET(選手情報!$A$6:$M$119,AB124,0),13,FALSE)),"","/"&amp;VLOOKUP($N124,OFFSET(選手情報!$A$6:$M$119,AB124,0),13,FALSE)),"")</f>
        <v/>
      </c>
      <c r="AD124" s="127" t="str">
        <f ca="1">IF(AB124&lt;&gt;"",IF(ISNA(VLOOKUP($N124,OFFSET(選手情報!$A$6:$BD$119,AB124,0),56,FALSE)),"",VLOOKUP($N124,OFFSET(選手情報!$A$6:$BD$119,AB124,0),56,FALSE)),"")</f>
        <v/>
      </c>
      <c r="AE124" s="127" t="str">
        <f ca="1">IF(AD124&lt;&gt;"",IF(ISNA(VLOOKUP($N124,OFFSET(選手情報!$A$6:$M$119,AD124,0),13,FALSE)),"","/"&amp;VLOOKUP($N124,OFFSET(選手情報!$A$6:$M$119,AD124,0),13,FALSE)),"")</f>
        <v/>
      </c>
      <c r="AF124" s="127" t="str">
        <f ca="1">IF(AD124&lt;&gt;"",IF(ISNA(VLOOKUP($N124,OFFSET(選手情報!$A$6:$BD$119,AD124,0),56,FALSE)),"",VLOOKUP($N124,OFFSET(選手情報!$A$6:$BD$119,AD124,0),56,FALSE)),"")</f>
        <v/>
      </c>
      <c r="AG124" s="127" t="str">
        <f ca="1">IF(AF124&lt;&gt;"",IF(ISNA(VLOOKUP($N124,OFFSET(選手情報!$A$6:$M$119,AF124,0),13,FALSE)),"","/"&amp;VLOOKUP($N124,OFFSET(選手情報!$A$6:$M$119,AF124,0),13,FALSE)),"")</f>
        <v/>
      </c>
      <c r="AH124" s="127" t="str">
        <f ca="1">IF(AF124&lt;&gt;"",IF(ISNA(VLOOKUP($N124,OFFSET(選手情報!$A$6:$BD$119,AF124,0),56,FALSE)),"",VLOOKUP($N124,OFFSET(選手情報!$A$6:$BD$119,AF124,0),56,FALSE)),"")</f>
        <v/>
      </c>
      <c r="AI124" s="127" t="str">
        <f ca="1">IF(AH124&lt;&gt;"",IF(ISNA(VLOOKUP($N124,OFFSET(選手情報!$A$6:$M$119,AH124,0),13,FALSE)),"","/"&amp;VLOOKUP($N124,OFFSET(選手情報!$A$6:$M$119,AH124,0),13,FALSE)),"")</f>
        <v/>
      </c>
      <c r="AJ124" s="127" t="str">
        <f ca="1">IF(AH124&lt;&gt;"",IF(ISNA(VLOOKUP($N124,OFFSET(選手情報!$A$6:$BD$119,AH124,0),56,FALSE)),"",VLOOKUP($N124,OFFSET(選手情報!$A$6:$BD$119,AH124,0),56,FALSE)),"")</f>
        <v/>
      </c>
      <c r="AK124" s="127" t="str">
        <f ca="1">IF(AJ124&lt;&gt;"",IF(ISNA(VLOOKUP($N124,OFFSET(選手情報!$A$6:$M$119,AJ124,0),13,FALSE)),"","/"&amp;VLOOKUP($N124,OFFSET(選手情報!$A$6:$M$119,AJ124,0),13,FALSE)),"")</f>
        <v/>
      </c>
      <c r="AL124" s="127" t="str">
        <f ca="1">IF(AJ124&lt;&gt;"",IF(ISNA(VLOOKUP($N124,OFFSET(選手情報!$A$6:$BD$119,AJ124,0),56,FALSE)),"",VLOOKUP($N124,OFFSET(選手情報!$A$6:$BD$119,AJ124,0),56,FALSE)),"")</f>
        <v/>
      </c>
      <c r="AM124" s="127" t="str">
        <f ca="1">IF(AL124&lt;&gt;"",IF(ISNA(VLOOKUP($N124,OFFSET(選手情報!$A$6:$M$119,AL124,0),13,FALSE)),"","/"&amp;VLOOKUP($N124,OFFSET(選手情報!$A$6:$M$119,AL124,0),13,FALSE)),"")</f>
        <v/>
      </c>
      <c r="AN124" s="127" t="str">
        <f ca="1">IF(AL124&lt;&gt;"",IF(ISNA(VLOOKUP($N124,OFFSET(選手情報!$A$6:$BD$119,AL124,0),56,FALSE)),"",VLOOKUP($N124,OFFSET(選手情報!$A$6:$BD$119,AL124,0),56,FALSE)),"")</f>
        <v/>
      </c>
      <c r="AO124" s="127" t="str">
        <f ca="1">IF(AN124&lt;&gt;"",IF(ISNA(VLOOKUP($N124,OFFSET(選手情報!$A$6:$M$119,AN124,0),13,FALSE)),"","/"&amp;VLOOKUP($N124,OFFSET(選手情報!$A$6:$M$119,AN124,0),13,FALSE)),"")</f>
        <v/>
      </c>
      <c r="AP124" s="127" t="str">
        <f ca="1">IF(AN124&lt;&gt;"",IF(ISNA(VLOOKUP($N124,OFFSET(選手情報!$A$6:$BD$119,AN124,0),56,FALSE)),"",VLOOKUP($N124,OFFSET(選手情報!$A$6:$BD$119,AN124,0),56,FALSE)),"")</f>
        <v/>
      </c>
      <c r="AQ124" s="127" t="str">
        <f ca="1">IF(AP124&lt;&gt;"",IF(ISNA(VLOOKUP($N124,OFFSET(選手情報!$A$6:$M$119,AP124,0),13,FALSE)),"","/"&amp;VLOOKUP($N124,OFFSET(選手情報!$A$6:$M$119,AP124,0),13,FALSE)),"")</f>
        <v/>
      </c>
      <c r="AR124" s="127" t="str">
        <f ca="1">IF(AP124&lt;&gt;"",IF(ISNA(VLOOKUP($N124,OFFSET(選手情報!$A$6:$BD$119,AP124,0),56,FALSE)),"",VLOOKUP($N124,OFFSET(選手情報!$A$6:$BD$119,AP124,0),56,FALSE)),"")</f>
        <v/>
      </c>
      <c r="AS124" s="127" t="str">
        <f ca="1">IF(AR124&lt;&gt;"",IF(ISNA(VLOOKUP($N124,OFFSET(選手情報!$A$6:$M$119,AR124,0),13,FALSE)),"","/"&amp;VLOOKUP($N124,OFFSET(選手情報!$A$6:$M$119,AR124,0),13,FALSE)),"")</f>
        <v/>
      </c>
      <c r="AT124" s="127" t="str">
        <f ca="1">IF(AR124&lt;&gt;"",IF(ISNA(VLOOKUP($N124,OFFSET(選手情報!$A$6:$BD$119,AR124,0),56,FALSE)),"",VLOOKUP($N124,OFFSET(選手情報!$A$6:$BD$119,AR124,0),56,FALSE)),"")</f>
        <v/>
      </c>
      <c r="AU124" s="127" t="str">
        <f ca="1">IF(AT124&lt;&gt;"",IF(ISNA(VLOOKUP($N124,OFFSET(選手情報!$A$6:$M$119,AT124,0),13,FALSE)),"","/"&amp;VLOOKUP($N124,OFFSET(選手情報!$A$6:$M$119,AT124,0),13,FALSE)),"")</f>
        <v/>
      </c>
      <c r="AV124" s="127" t="str">
        <f ca="1">IF(AT124&lt;&gt;"",IF(ISNA(VLOOKUP($N124,OFFSET(選手情報!$A$6:$BD$119,AT124,0),56,FALSE)),"",VLOOKUP($N124,OFFSET(選手情報!$A$6:$BD$119,AT124,0),56,FALSE)),"")</f>
        <v/>
      </c>
      <c r="AW124" s="127" t="str">
        <f ca="1">IF(AV124&lt;&gt;"",IF(ISNA(VLOOKUP($N124,OFFSET(選手情報!$A$6:$M$119,AV124,0),13,FALSE)),"","/"&amp;VLOOKUP($N124,OFFSET(選手情報!$A$6:$M$119,AV124,0),13,FALSE)),"")</f>
        <v/>
      </c>
      <c r="AX124" s="127" t="str">
        <f ca="1">IF(AV124&lt;&gt;"",IF(ISNA(VLOOKUP($N124,OFFSET(選手情報!$A$6:$BD$119,AV124,0),56,FALSE)),"",VLOOKUP($N124,OFFSET(選手情報!$A$6:$BD$119,AV124,0),56,FALSE)),"")</f>
        <v/>
      </c>
      <c r="AY124" s="127" t="str">
        <f ca="1">IF(AX124&lt;&gt;"",IF(ISNA(VLOOKUP($N124,OFFSET(選手情報!$A$6:$M$119,AX124,0),13,FALSE)),"","/"&amp;VLOOKUP($N124,OFFSET(選手情報!$A$6:$M$119,AX124,0),13,FALSE)),"")</f>
        <v/>
      </c>
      <c r="AZ124" s="127" t="str">
        <f ca="1">IF(AX124&lt;&gt;"",IF(ISNA(VLOOKUP($N124,OFFSET(選手情報!$A$6:$BD$119,AX124,0),56,FALSE)),"",VLOOKUP($N124,OFFSET(選手情報!$A$6:$BD$119,AX124,0),56,FALSE)),"")</f>
        <v/>
      </c>
      <c r="BA124" s="127" t="str">
        <f ca="1">IF(AZ124&lt;&gt;"",IF(ISNA(VLOOKUP($N124,OFFSET(選手情報!$A$6:$M$119,AZ124,0),13,FALSE)),"","/"&amp;VLOOKUP($N124,OFFSET(選手情報!$A$6:$M$119,AZ124,0),13,FALSE)),"")</f>
        <v/>
      </c>
      <c r="BB124" s="127" t="str">
        <f ca="1">IF(AZ124&lt;&gt;"",IF(ISNA(VLOOKUP($N124,OFFSET(選手情報!$A$6:$BD$119,AZ124,0),56,FALSE)),"",VLOOKUP($N124,OFFSET(選手情報!$A$6:$BD$119,AZ124,0),56,FALSE)),"")</f>
        <v/>
      </c>
      <c r="BC124" s="127" t="str">
        <f ca="1">IF(BB124&lt;&gt;"",IF(ISNA(VLOOKUP($N124,OFFSET(選手情報!$A$6:$M$119,BB124,0),13,FALSE)),"","/"&amp;VLOOKUP($N124,OFFSET(選手情報!$A$6:$M$119,BB124,0),13,FALSE)),"")</f>
        <v/>
      </c>
      <c r="BD124" s="127" t="str">
        <f ca="1">IF(BB124&lt;&gt;"",IF(ISNA(VLOOKUP($N124,OFFSET(選手情報!$A$6:$BD$119,BB124,0),56,FALSE)),"",VLOOKUP($N124,OFFSET(選手情報!$A$6:$BD$119,BB124,0),56,FALSE)),"")</f>
        <v/>
      </c>
      <c r="BE124" s="127" t="str">
        <f ca="1">IF(BD124&lt;&gt;"",IF(ISNA(VLOOKUP($N124,OFFSET(選手情報!$A$6:$M$119,BD124,0),13,FALSE)),"","/"&amp;VLOOKUP($N124,OFFSET(選手情報!$A$6:$M$119,BD124,0),13,FALSE)),"")</f>
        <v/>
      </c>
      <c r="BF124" s="127" t="str">
        <f ca="1">IF(BD124&lt;&gt;"",IF(ISNA(VLOOKUP($N124,OFFSET(選手情報!$A$6:$BD$119,BD124,0),56,FALSE)),"",VLOOKUP($N124,OFFSET(選手情報!$A$6:$BD$119,BD124,0),56,FALSE)),"")</f>
        <v/>
      </c>
      <c r="BG124" s="127" t="str">
        <f ca="1">IF(BF124&lt;&gt;"",IF(ISNA(VLOOKUP($N124,OFFSET(選手情報!$A$6:$M$119,BF124,0),13,FALSE)),"","/"&amp;VLOOKUP($N124,OFFSET(選手情報!$A$6:$M$119,BF124,0),13,FALSE)),"")</f>
        <v/>
      </c>
      <c r="BH124" s="127" t="str">
        <f ca="1">IF(BF124&lt;&gt;"",IF(ISNA(VLOOKUP($N124,OFFSET(選手情報!$A$6:$BD$119,BF124,0),56,FALSE)),"",VLOOKUP($N124,OFFSET(選手情報!$A$6:$BD$119,BF124,0),56,FALSE)),"")</f>
        <v/>
      </c>
      <c r="BI124" s="127" t="str">
        <f ca="1">IF(BH124&lt;&gt;"",IF(ISNA(VLOOKUP($N124,OFFSET(選手情報!$A$6:$M$119,BH124,0),13,FALSE)),"","/"&amp;VLOOKUP($N124,OFFSET(選手情報!$A$6:$M$119,BH124,0),13,FALSE)),"")</f>
        <v/>
      </c>
    </row>
    <row r="125" spans="1:61" s="127" customFormat="1" ht="12.6" customHeight="1">
      <c r="A125" s="128" t="str">
        <f>IF(ISNA(VLOOKUP($C$2&amp;N125,選手データ!A:H,3,FALSE)),"",IF(M125&lt;&gt;M124,VLOOKUP($C$2&amp;N125,選手データ!A:H,3,FALSE),""))</f>
        <v/>
      </c>
      <c r="B125" s="129" t="str">
        <f>IF(A125&lt;&gt;"",VLOOKUP($C$2&amp;N125,選手データ!A:H,4,FALSE),"")</f>
        <v/>
      </c>
      <c r="C125" s="129" t="str">
        <f>IF(A125&lt;&gt;"",VLOOKUP($C$2&amp;N125,選手データ!A:H,5,FALSE),"")</f>
        <v/>
      </c>
      <c r="D125" s="129" t="str">
        <f>IF(A125&lt;&gt;"",VLOOKUP($C$2&amp;N125,選手データ!A:H,6,FALSE),"")</f>
        <v/>
      </c>
      <c r="E125" s="129" t="str">
        <f>IF(A125&lt;&gt;"",VLOOKUP($C$2&amp;N125,選手データ!A:H,7,FALSE),"")</f>
        <v/>
      </c>
      <c r="F125" s="130" t="str">
        <f>IF(A125&lt;&gt;"",VLOOKUP($C$2&amp;N125,選手データ!A:H,8,FALSE),"")</f>
        <v/>
      </c>
      <c r="G125" s="130" t="str">
        <f>IF(F125&lt;&gt;"",IF(DATEDIF(F125,設定!$B$12,"Y")&lt;20,"〇",""),"")</f>
        <v/>
      </c>
      <c r="H125" s="131" t="str">
        <f t="shared" ca="1" si="13"/>
        <v/>
      </c>
      <c r="I125" s="132" t="str">
        <f t="shared" ca="1" si="14"/>
        <v/>
      </c>
      <c r="J125" s="131" t="str">
        <f t="shared" ca="1" si="15"/>
        <v/>
      </c>
      <c r="K125" s="130" t="str">
        <f>IF(A125&lt;&gt;"",IF(COUNTIF(リレーチーム情報!$B$17:$B$22,A125&amp;E125)=1,"〇",""),"")</f>
        <v/>
      </c>
      <c r="L125" s="133" t="str">
        <f>IF(A125&lt;&gt;"",IF(COUNTIF(リレーチーム情報!$B$23:$B$28,A125&amp;E125)=1,"〇",""),"")</f>
        <v/>
      </c>
      <c r="M125" s="127">
        <f>IF(学校情報!$A$4&lt;&gt;"",0,IF(S124=0,MAX($M$109:M124)+1,M124))</f>
        <v>0</v>
      </c>
      <c r="N125" s="127" t="str">
        <f>IF(M125&lt;&gt;0,VLOOKUP(M125,選手情報!BI:BJ,2,FALSE),"")</f>
        <v/>
      </c>
      <c r="O125" s="127" t="str">
        <f ca="1">IF(M125&lt;&gt;0,VLOOKUP(N125,OFFSET(選手情報!$A$6:$W$119,IF(M125&lt;&gt;M124,0,R124),0),13,FALSE),"")</f>
        <v/>
      </c>
      <c r="P125" s="127" t="str">
        <f ca="1">IF(M125&lt;&gt;0,VLOOKUP(N125,OFFSET(選手情報!$A$6:$W$119,IF(M125&lt;&gt;M124,0,R124),0),16,FALSE),"")</f>
        <v/>
      </c>
      <c r="Q125" s="127" t="str">
        <f ca="1">IF(M125&lt;&gt;0,VLOOKUP(N125,OFFSET(選手情報!$A$6:$W$119,IF(M125&lt;&gt;M124,0,R124),0),21,FALSE),"")</f>
        <v/>
      </c>
      <c r="R125" s="127">
        <f ca="1">IF(M125&lt;&gt;0,VLOOKUP(N125,OFFSET(選手情報!$A$6:$BD$119,IF(M125&lt;&gt;M124,0,R124),0),56,FALSE),0)</f>
        <v>0</v>
      </c>
      <c r="S125" s="127">
        <f ca="1">IF(M125&lt;&gt;0,IF(ISNA(R125),0,COUNTIF(OFFSET(選手情報!$A$6:$A$119,R125,0),N125)),0)</f>
        <v>0</v>
      </c>
      <c r="U125" s="127">
        <f t="shared" si="16"/>
        <v>0</v>
      </c>
      <c r="V125" s="127">
        <f t="shared" ca="1" si="17"/>
        <v>1</v>
      </c>
      <c r="W125" s="127">
        <f t="shared" ca="1" si="12"/>
        <v>0</v>
      </c>
      <c r="X125" s="127" t="str">
        <f t="shared" ca="1" si="18"/>
        <v/>
      </c>
      <c r="Y125" s="127" t="str">
        <f>IF($A125&lt;&gt;"",IF(ISNA(VLOOKUP($N125,選手情報!$A$6:$M$119,13,FALSE)),"","/"&amp;VLOOKUP($N125,選手情報!$A$6:$M$119,13,FALSE)),"")</f>
        <v/>
      </c>
      <c r="Z125" s="127" t="str">
        <f ca="1">IF(Y125&lt;&gt;"",IF(ISNA(VLOOKUP($N125,OFFSET(選手情報!$A$6:$BD$119,0,0),56,FALSE)),"",VLOOKUP($N125,OFFSET(選手情報!$A$6:$BD$119,0,0),56,FALSE)),"")</f>
        <v/>
      </c>
      <c r="AA125" s="127" t="str">
        <f ca="1">IF(Z125&lt;&gt;"",IF(ISNA(VLOOKUP($N125,OFFSET(選手情報!$A$6:$M$119,Z125,0),13,FALSE)),"","/"&amp;VLOOKUP($N125,OFFSET(選手情報!$A$6:$M$119,Z125,0),13,FALSE)),"")</f>
        <v/>
      </c>
      <c r="AB125" s="127" t="str">
        <f ca="1">IF(Z125&lt;&gt;"",IF(ISNA(VLOOKUP($N125,OFFSET(選手情報!$A$6:$BD$119,Z125,0),56,FALSE)),"",VLOOKUP($N125,OFFSET(選手情報!$A$6:$BD$119,Z125,0),56,FALSE)),"")</f>
        <v/>
      </c>
      <c r="AC125" s="127" t="str">
        <f ca="1">IF(AB125&lt;&gt;"",IF(ISNA(VLOOKUP($N125,OFFSET(選手情報!$A$6:$M$119,AB125,0),13,FALSE)),"","/"&amp;VLOOKUP($N125,OFFSET(選手情報!$A$6:$M$119,AB125,0),13,FALSE)),"")</f>
        <v/>
      </c>
      <c r="AD125" s="127" t="str">
        <f ca="1">IF(AB125&lt;&gt;"",IF(ISNA(VLOOKUP($N125,OFFSET(選手情報!$A$6:$BD$119,AB125,0),56,FALSE)),"",VLOOKUP($N125,OFFSET(選手情報!$A$6:$BD$119,AB125,0),56,FALSE)),"")</f>
        <v/>
      </c>
      <c r="AE125" s="127" t="str">
        <f ca="1">IF(AD125&lt;&gt;"",IF(ISNA(VLOOKUP($N125,OFFSET(選手情報!$A$6:$M$119,AD125,0),13,FALSE)),"","/"&amp;VLOOKUP($N125,OFFSET(選手情報!$A$6:$M$119,AD125,0),13,FALSE)),"")</f>
        <v/>
      </c>
      <c r="AF125" s="127" t="str">
        <f ca="1">IF(AD125&lt;&gt;"",IF(ISNA(VLOOKUP($N125,OFFSET(選手情報!$A$6:$BD$119,AD125,0),56,FALSE)),"",VLOOKUP($N125,OFFSET(選手情報!$A$6:$BD$119,AD125,0),56,FALSE)),"")</f>
        <v/>
      </c>
      <c r="AG125" s="127" t="str">
        <f ca="1">IF(AF125&lt;&gt;"",IF(ISNA(VLOOKUP($N125,OFFSET(選手情報!$A$6:$M$119,AF125,0),13,FALSE)),"","/"&amp;VLOOKUP($N125,OFFSET(選手情報!$A$6:$M$119,AF125,0),13,FALSE)),"")</f>
        <v/>
      </c>
      <c r="AH125" s="127" t="str">
        <f ca="1">IF(AF125&lt;&gt;"",IF(ISNA(VLOOKUP($N125,OFFSET(選手情報!$A$6:$BD$119,AF125,0),56,FALSE)),"",VLOOKUP($N125,OFFSET(選手情報!$A$6:$BD$119,AF125,0),56,FALSE)),"")</f>
        <v/>
      </c>
      <c r="AI125" s="127" t="str">
        <f ca="1">IF(AH125&lt;&gt;"",IF(ISNA(VLOOKUP($N125,OFFSET(選手情報!$A$6:$M$119,AH125,0),13,FALSE)),"","/"&amp;VLOOKUP($N125,OFFSET(選手情報!$A$6:$M$119,AH125,0),13,FALSE)),"")</f>
        <v/>
      </c>
      <c r="AJ125" s="127" t="str">
        <f ca="1">IF(AH125&lt;&gt;"",IF(ISNA(VLOOKUP($N125,OFFSET(選手情報!$A$6:$BD$119,AH125,0),56,FALSE)),"",VLOOKUP($N125,OFFSET(選手情報!$A$6:$BD$119,AH125,0),56,FALSE)),"")</f>
        <v/>
      </c>
      <c r="AK125" s="127" t="str">
        <f ca="1">IF(AJ125&lt;&gt;"",IF(ISNA(VLOOKUP($N125,OFFSET(選手情報!$A$6:$M$119,AJ125,0),13,FALSE)),"","/"&amp;VLOOKUP($N125,OFFSET(選手情報!$A$6:$M$119,AJ125,0),13,FALSE)),"")</f>
        <v/>
      </c>
      <c r="AL125" s="127" t="str">
        <f ca="1">IF(AJ125&lt;&gt;"",IF(ISNA(VLOOKUP($N125,OFFSET(選手情報!$A$6:$BD$119,AJ125,0),56,FALSE)),"",VLOOKUP($N125,OFFSET(選手情報!$A$6:$BD$119,AJ125,0),56,FALSE)),"")</f>
        <v/>
      </c>
      <c r="AM125" s="127" t="str">
        <f ca="1">IF(AL125&lt;&gt;"",IF(ISNA(VLOOKUP($N125,OFFSET(選手情報!$A$6:$M$119,AL125,0),13,FALSE)),"","/"&amp;VLOOKUP($N125,OFFSET(選手情報!$A$6:$M$119,AL125,0),13,FALSE)),"")</f>
        <v/>
      </c>
      <c r="AN125" s="127" t="str">
        <f ca="1">IF(AL125&lt;&gt;"",IF(ISNA(VLOOKUP($N125,OFFSET(選手情報!$A$6:$BD$119,AL125,0),56,FALSE)),"",VLOOKUP($N125,OFFSET(選手情報!$A$6:$BD$119,AL125,0),56,FALSE)),"")</f>
        <v/>
      </c>
      <c r="AO125" s="127" t="str">
        <f ca="1">IF(AN125&lt;&gt;"",IF(ISNA(VLOOKUP($N125,OFFSET(選手情報!$A$6:$M$119,AN125,0),13,FALSE)),"","/"&amp;VLOOKUP($N125,OFFSET(選手情報!$A$6:$M$119,AN125,0),13,FALSE)),"")</f>
        <v/>
      </c>
      <c r="AP125" s="127" t="str">
        <f ca="1">IF(AN125&lt;&gt;"",IF(ISNA(VLOOKUP($N125,OFFSET(選手情報!$A$6:$BD$119,AN125,0),56,FALSE)),"",VLOOKUP($N125,OFFSET(選手情報!$A$6:$BD$119,AN125,0),56,FALSE)),"")</f>
        <v/>
      </c>
      <c r="AQ125" s="127" t="str">
        <f ca="1">IF(AP125&lt;&gt;"",IF(ISNA(VLOOKUP($N125,OFFSET(選手情報!$A$6:$M$119,AP125,0),13,FALSE)),"","/"&amp;VLOOKUP($N125,OFFSET(選手情報!$A$6:$M$119,AP125,0),13,FALSE)),"")</f>
        <v/>
      </c>
      <c r="AR125" s="127" t="str">
        <f ca="1">IF(AP125&lt;&gt;"",IF(ISNA(VLOOKUP($N125,OFFSET(選手情報!$A$6:$BD$119,AP125,0),56,FALSE)),"",VLOOKUP($N125,OFFSET(選手情報!$A$6:$BD$119,AP125,0),56,FALSE)),"")</f>
        <v/>
      </c>
      <c r="AS125" s="127" t="str">
        <f ca="1">IF(AR125&lt;&gt;"",IF(ISNA(VLOOKUP($N125,OFFSET(選手情報!$A$6:$M$119,AR125,0),13,FALSE)),"","/"&amp;VLOOKUP($N125,OFFSET(選手情報!$A$6:$M$119,AR125,0),13,FALSE)),"")</f>
        <v/>
      </c>
      <c r="AT125" s="127" t="str">
        <f ca="1">IF(AR125&lt;&gt;"",IF(ISNA(VLOOKUP($N125,OFFSET(選手情報!$A$6:$BD$119,AR125,0),56,FALSE)),"",VLOOKUP($N125,OFFSET(選手情報!$A$6:$BD$119,AR125,0),56,FALSE)),"")</f>
        <v/>
      </c>
      <c r="AU125" s="127" t="str">
        <f ca="1">IF(AT125&lt;&gt;"",IF(ISNA(VLOOKUP($N125,OFFSET(選手情報!$A$6:$M$119,AT125,0),13,FALSE)),"","/"&amp;VLOOKUP($N125,OFFSET(選手情報!$A$6:$M$119,AT125,0),13,FALSE)),"")</f>
        <v/>
      </c>
      <c r="AV125" s="127" t="str">
        <f ca="1">IF(AT125&lt;&gt;"",IF(ISNA(VLOOKUP($N125,OFFSET(選手情報!$A$6:$BD$119,AT125,0),56,FALSE)),"",VLOOKUP($N125,OFFSET(選手情報!$A$6:$BD$119,AT125,0),56,FALSE)),"")</f>
        <v/>
      </c>
      <c r="AW125" s="127" t="str">
        <f ca="1">IF(AV125&lt;&gt;"",IF(ISNA(VLOOKUP($N125,OFFSET(選手情報!$A$6:$M$119,AV125,0),13,FALSE)),"","/"&amp;VLOOKUP($N125,OFFSET(選手情報!$A$6:$M$119,AV125,0),13,FALSE)),"")</f>
        <v/>
      </c>
      <c r="AX125" s="127" t="str">
        <f ca="1">IF(AV125&lt;&gt;"",IF(ISNA(VLOOKUP($N125,OFFSET(選手情報!$A$6:$BD$119,AV125,0),56,FALSE)),"",VLOOKUP($N125,OFFSET(選手情報!$A$6:$BD$119,AV125,0),56,FALSE)),"")</f>
        <v/>
      </c>
      <c r="AY125" s="127" t="str">
        <f ca="1">IF(AX125&lt;&gt;"",IF(ISNA(VLOOKUP($N125,OFFSET(選手情報!$A$6:$M$119,AX125,0),13,FALSE)),"","/"&amp;VLOOKUP($N125,OFFSET(選手情報!$A$6:$M$119,AX125,0),13,FALSE)),"")</f>
        <v/>
      </c>
      <c r="AZ125" s="127" t="str">
        <f ca="1">IF(AX125&lt;&gt;"",IF(ISNA(VLOOKUP($N125,OFFSET(選手情報!$A$6:$BD$119,AX125,0),56,FALSE)),"",VLOOKUP($N125,OFFSET(選手情報!$A$6:$BD$119,AX125,0),56,FALSE)),"")</f>
        <v/>
      </c>
      <c r="BA125" s="127" t="str">
        <f ca="1">IF(AZ125&lt;&gt;"",IF(ISNA(VLOOKUP($N125,OFFSET(選手情報!$A$6:$M$119,AZ125,0),13,FALSE)),"","/"&amp;VLOOKUP($N125,OFFSET(選手情報!$A$6:$M$119,AZ125,0),13,FALSE)),"")</f>
        <v/>
      </c>
      <c r="BB125" s="127" t="str">
        <f ca="1">IF(AZ125&lt;&gt;"",IF(ISNA(VLOOKUP($N125,OFFSET(選手情報!$A$6:$BD$119,AZ125,0),56,FALSE)),"",VLOOKUP($N125,OFFSET(選手情報!$A$6:$BD$119,AZ125,0),56,FALSE)),"")</f>
        <v/>
      </c>
      <c r="BC125" s="127" t="str">
        <f ca="1">IF(BB125&lt;&gt;"",IF(ISNA(VLOOKUP($N125,OFFSET(選手情報!$A$6:$M$119,BB125,0),13,FALSE)),"","/"&amp;VLOOKUP($N125,OFFSET(選手情報!$A$6:$M$119,BB125,0),13,FALSE)),"")</f>
        <v/>
      </c>
      <c r="BD125" s="127" t="str">
        <f ca="1">IF(BB125&lt;&gt;"",IF(ISNA(VLOOKUP($N125,OFFSET(選手情報!$A$6:$BD$119,BB125,0),56,FALSE)),"",VLOOKUP($N125,OFFSET(選手情報!$A$6:$BD$119,BB125,0),56,FALSE)),"")</f>
        <v/>
      </c>
      <c r="BE125" s="127" t="str">
        <f ca="1">IF(BD125&lt;&gt;"",IF(ISNA(VLOOKUP($N125,OFFSET(選手情報!$A$6:$M$119,BD125,0),13,FALSE)),"","/"&amp;VLOOKUP($N125,OFFSET(選手情報!$A$6:$M$119,BD125,0),13,FALSE)),"")</f>
        <v/>
      </c>
      <c r="BF125" s="127" t="str">
        <f ca="1">IF(BD125&lt;&gt;"",IF(ISNA(VLOOKUP($N125,OFFSET(選手情報!$A$6:$BD$119,BD125,0),56,FALSE)),"",VLOOKUP($N125,OFFSET(選手情報!$A$6:$BD$119,BD125,0),56,FALSE)),"")</f>
        <v/>
      </c>
      <c r="BG125" s="127" t="str">
        <f ca="1">IF(BF125&lt;&gt;"",IF(ISNA(VLOOKUP($N125,OFFSET(選手情報!$A$6:$M$119,BF125,0),13,FALSE)),"","/"&amp;VLOOKUP($N125,OFFSET(選手情報!$A$6:$M$119,BF125,0),13,FALSE)),"")</f>
        <v/>
      </c>
      <c r="BH125" s="127" t="str">
        <f ca="1">IF(BF125&lt;&gt;"",IF(ISNA(VLOOKUP($N125,OFFSET(選手情報!$A$6:$BD$119,BF125,0),56,FALSE)),"",VLOOKUP($N125,OFFSET(選手情報!$A$6:$BD$119,BF125,0),56,FALSE)),"")</f>
        <v/>
      </c>
      <c r="BI125" s="127" t="str">
        <f ca="1">IF(BH125&lt;&gt;"",IF(ISNA(VLOOKUP($N125,OFFSET(選手情報!$A$6:$M$119,BH125,0),13,FALSE)),"","/"&amp;VLOOKUP($N125,OFFSET(選手情報!$A$6:$M$119,BH125,0),13,FALSE)),"")</f>
        <v/>
      </c>
    </row>
    <row r="126" spans="1:61" s="127" customFormat="1" ht="12.6" customHeight="1">
      <c r="A126" s="128" t="str">
        <f>IF(ISNA(VLOOKUP($C$2&amp;N126,選手データ!A:H,3,FALSE)),"",IF(M126&lt;&gt;M125,VLOOKUP($C$2&amp;N126,選手データ!A:H,3,FALSE),""))</f>
        <v/>
      </c>
      <c r="B126" s="129" t="str">
        <f>IF(A126&lt;&gt;"",VLOOKUP($C$2&amp;N126,選手データ!A:H,4,FALSE),"")</f>
        <v/>
      </c>
      <c r="C126" s="129" t="str">
        <f>IF(A126&lt;&gt;"",VLOOKUP($C$2&amp;N126,選手データ!A:H,5,FALSE),"")</f>
        <v/>
      </c>
      <c r="D126" s="129" t="str">
        <f>IF(A126&lt;&gt;"",VLOOKUP($C$2&amp;N126,選手データ!A:H,6,FALSE),"")</f>
        <v/>
      </c>
      <c r="E126" s="129" t="str">
        <f>IF(A126&lt;&gt;"",VLOOKUP($C$2&amp;N126,選手データ!A:H,7,FALSE),"")</f>
        <v/>
      </c>
      <c r="F126" s="130" t="str">
        <f>IF(A126&lt;&gt;"",VLOOKUP($C$2&amp;N126,選手データ!A:H,8,FALSE),"")</f>
        <v/>
      </c>
      <c r="G126" s="130" t="str">
        <f>IF(F126&lt;&gt;"",IF(DATEDIF(F126,設定!$B$12,"Y")&lt;20,"〇",""),"")</f>
        <v/>
      </c>
      <c r="H126" s="131" t="str">
        <f t="shared" ca="1" si="13"/>
        <v/>
      </c>
      <c r="I126" s="132" t="str">
        <f t="shared" ca="1" si="14"/>
        <v/>
      </c>
      <c r="J126" s="131" t="str">
        <f t="shared" ca="1" si="15"/>
        <v/>
      </c>
      <c r="K126" s="130" t="str">
        <f>IF(A126&lt;&gt;"",IF(COUNTIF(リレーチーム情報!$B$17:$B$22,A126&amp;E126)=1,"〇",""),"")</f>
        <v/>
      </c>
      <c r="L126" s="133" t="str">
        <f>IF(A126&lt;&gt;"",IF(COUNTIF(リレーチーム情報!$B$23:$B$28,A126&amp;E126)=1,"〇",""),"")</f>
        <v/>
      </c>
      <c r="M126" s="127">
        <f>IF(学校情報!$A$4&lt;&gt;"",0,IF(S125=0,MAX($M$109:M125)+1,M125))</f>
        <v>0</v>
      </c>
      <c r="N126" s="127" t="str">
        <f>IF(M126&lt;&gt;0,VLOOKUP(M126,選手情報!BI:BJ,2,FALSE),"")</f>
        <v/>
      </c>
      <c r="O126" s="127" t="str">
        <f ca="1">IF(M126&lt;&gt;0,VLOOKUP(N126,OFFSET(選手情報!$A$6:$W$119,IF(M126&lt;&gt;M125,0,R125),0),13,FALSE),"")</f>
        <v/>
      </c>
      <c r="P126" s="127" t="str">
        <f ca="1">IF(M126&lt;&gt;0,VLOOKUP(N126,OFFSET(選手情報!$A$6:$W$119,IF(M126&lt;&gt;M125,0,R125),0),16,FALSE),"")</f>
        <v/>
      </c>
      <c r="Q126" s="127" t="str">
        <f ca="1">IF(M126&lt;&gt;0,VLOOKUP(N126,OFFSET(選手情報!$A$6:$W$119,IF(M126&lt;&gt;M125,0,R125),0),21,FALSE),"")</f>
        <v/>
      </c>
      <c r="R126" s="127">
        <f ca="1">IF(M126&lt;&gt;0,VLOOKUP(N126,OFFSET(選手情報!$A$6:$BD$119,IF(M126&lt;&gt;M125,0,R125),0),56,FALSE),0)</f>
        <v>0</v>
      </c>
      <c r="S126" s="127">
        <f ca="1">IF(M126&lt;&gt;0,IF(ISNA(R126),0,COUNTIF(OFFSET(選手情報!$A$6:$A$119,R126,0),N126)),0)</f>
        <v>0</v>
      </c>
      <c r="U126" s="127">
        <f t="shared" si="16"/>
        <v>0</v>
      </c>
      <c r="V126" s="127">
        <f t="shared" ca="1" si="17"/>
        <v>1</v>
      </c>
      <c r="W126" s="127">
        <f t="shared" ca="1" si="12"/>
        <v>0</v>
      </c>
      <c r="X126" s="127" t="str">
        <f t="shared" ca="1" si="18"/>
        <v/>
      </c>
      <c r="Y126" s="127" t="str">
        <f>IF($A126&lt;&gt;"",IF(ISNA(VLOOKUP($N126,選手情報!$A$6:$M$119,13,FALSE)),"","/"&amp;VLOOKUP($N126,選手情報!$A$6:$M$119,13,FALSE)),"")</f>
        <v/>
      </c>
      <c r="Z126" s="127" t="str">
        <f ca="1">IF(Y126&lt;&gt;"",IF(ISNA(VLOOKUP($N126,OFFSET(選手情報!$A$6:$BD$119,0,0),56,FALSE)),"",VLOOKUP($N126,OFFSET(選手情報!$A$6:$BD$119,0,0),56,FALSE)),"")</f>
        <v/>
      </c>
      <c r="AA126" s="127" t="str">
        <f ca="1">IF(Z126&lt;&gt;"",IF(ISNA(VLOOKUP($N126,OFFSET(選手情報!$A$6:$M$119,Z126,0),13,FALSE)),"","/"&amp;VLOOKUP($N126,OFFSET(選手情報!$A$6:$M$119,Z126,0),13,FALSE)),"")</f>
        <v/>
      </c>
      <c r="AB126" s="127" t="str">
        <f ca="1">IF(Z126&lt;&gt;"",IF(ISNA(VLOOKUP($N126,OFFSET(選手情報!$A$6:$BD$119,Z126,0),56,FALSE)),"",VLOOKUP($N126,OFFSET(選手情報!$A$6:$BD$119,Z126,0),56,FALSE)),"")</f>
        <v/>
      </c>
      <c r="AC126" s="127" t="str">
        <f ca="1">IF(AB126&lt;&gt;"",IF(ISNA(VLOOKUP($N126,OFFSET(選手情報!$A$6:$M$119,AB126,0),13,FALSE)),"","/"&amp;VLOOKUP($N126,OFFSET(選手情報!$A$6:$M$119,AB126,0),13,FALSE)),"")</f>
        <v/>
      </c>
      <c r="AD126" s="127" t="str">
        <f ca="1">IF(AB126&lt;&gt;"",IF(ISNA(VLOOKUP($N126,OFFSET(選手情報!$A$6:$BD$119,AB126,0),56,FALSE)),"",VLOOKUP($N126,OFFSET(選手情報!$A$6:$BD$119,AB126,0),56,FALSE)),"")</f>
        <v/>
      </c>
      <c r="AE126" s="127" t="str">
        <f ca="1">IF(AD126&lt;&gt;"",IF(ISNA(VLOOKUP($N126,OFFSET(選手情報!$A$6:$M$119,AD126,0),13,FALSE)),"","/"&amp;VLOOKUP($N126,OFFSET(選手情報!$A$6:$M$119,AD126,0),13,FALSE)),"")</f>
        <v/>
      </c>
      <c r="AF126" s="127" t="str">
        <f ca="1">IF(AD126&lt;&gt;"",IF(ISNA(VLOOKUP($N126,OFFSET(選手情報!$A$6:$BD$119,AD126,0),56,FALSE)),"",VLOOKUP($N126,OFFSET(選手情報!$A$6:$BD$119,AD126,0),56,FALSE)),"")</f>
        <v/>
      </c>
      <c r="AG126" s="127" t="str">
        <f ca="1">IF(AF126&lt;&gt;"",IF(ISNA(VLOOKUP($N126,OFFSET(選手情報!$A$6:$M$119,AF126,0),13,FALSE)),"","/"&amp;VLOOKUP($N126,OFFSET(選手情報!$A$6:$M$119,AF126,0),13,FALSE)),"")</f>
        <v/>
      </c>
      <c r="AH126" s="127" t="str">
        <f ca="1">IF(AF126&lt;&gt;"",IF(ISNA(VLOOKUP($N126,OFFSET(選手情報!$A$6:$BD$119,AF126,0),56,FALSE)),"",VLOOKUP($N126,OFFSET(選手情報!$A$6:$BD$119,AF126,0),56,FALSE)),"")</f>
        <v/>
      </c>
      <c r="AI126" s="127" t="str">
        <f ca="1">IF(AH126&lt;&gt;"",IF(ISNA(VLOOKUP($N126,OFFSET(選手情報!$A$6:$M$119,AH126,0),13,FALSE)),"","/"&amp;VLOOKUP($N126,OFFSET(選手情報!$A$6:$M$119,AH126,0),13,FALSE)),"")</f>
        <v/>
      </c>
      <c r="AJ126" s="127" t="str">
        <f ca="1">IF(AH126&lt;&gt;"",IF(ISNA(VLOOKUP($N126,OFFSET(選手情報!$A$6:$BD$119,AH126,0),56,FALSE)),"",VLOOKUP($N126,OFFSET(選手情報!$A$6:$BD$119,AH126,0),56,FALSE)),"")</f>
        <v/>
      </c>
      <c r="AK126" s="127" t="str">
        <f ca="1">IF(AJ126&lt;&gt;"",IF(ISNA(VLOOKUP($N126,OFFSET(選手情報!$A$6:$M$119,AJ126,0),13,FALSE)),"","/"&amp;VLOOKUP($N126,OFFSET(選手情報!$A$6:$M$119,AJ126,0),13,FALSE)),"")</f>
        <v/>
      </c>
      <c r="AL126" s="127" t="str">
        <f ca="1">IF(AJ126&lt;&gt;"",IF(ISNA(VLOOKUP($N126,OFFSET(選手情報!$A$6:$BD$119,AJ126,0),56,FALSE)),"",VLOOKUP($N126,OFFSET(選手情報!$A$6:$BD$119,AJ126,0),56,FALSE)),"")</f>
        <v/>
      </c>
      <c r="AM126" s="127" t="str">
        <f ca="1">IF(AL126&lt;&gt;"",IF(ISNA(VLOOKUP($N126,OFFSET(選手情報!$A$6:$M$119,AL126,0),13,FALSE)),"","/"&amp;VLOOKUP($N126,OFFSET(選手情報!$A$6:$M$119,AL126,0),13,FALSE)),"")</f>
        <v/>
      </c>
      <c r="AN126" s="127" t="str">
        <f ca="1">IF(AL126&lt;&gt;"",IF(ISNA(VLOOKUP($N126,OFFSET(選手情報!$A$6:$BD$119,AL126,0),56,FALSE)),"",VLOOKUP($N126,OFFSET(選手情報!$A$6:$BD$119,AL126,0),56,FALSE)),"")</f>
        <v/>
      </c>
      <c r="AO126" s="127" t="str">
        <f ca="1">IF(AN126&lt;&gt;"",IF(ISNA(VLOOKUP($N126,OFFSET(選手情報!$A$6:$M$119,AN126,0),13,FALSE)),"","/"&amp;VLOOKUP($N126,OFFSET(選手情報!$A$6:$M$119,AN126,0),13,FALSE)),"")</f>
        <v/>
      </c>
      <c r="AP126" s="127" t="str">
        <f ca="1">IF(AN126&lt;&gt;"",IF(ISNA(VLOOKUP($N126,OFFSET(選手情報!$A$6:$BD$119,AN126,0),56,FALSE)),"",VLOOKUP($N126,OFFSET(選手情報!$A$6:$BD$119,AN126,0),56,FALSE)),"")</f>
        <v/>
      </c>
      <c r="AQ126" s="127" t="str">
        <f ca="1">IF(AP126&lt;&gt;"",IF(ISNA(VLOOKUP($N126,OFFSET(選手情報!$A$6:$M$119,AP126,0),13,FALSE)),"","/"&amp;VLOOKUP($N126,OFFSET(選手情報!$A$6:$M$119,AP126,0),13,FALSE)),"")</f>
        <v/>
      </c>
      <c r="AR126" s="127" t="str">
        <f ca="1">IF(AP126&lt;&gt;"",IF(ISNA(VLOOKUP($N126,OFFSET(選手情報!$A$6:$BD$119,AP126,0),56,FALSE)),"",VLOOKUP($N126,OFFSET(選手情報!$A$6:$BD$119,AP126,0),56,FALSE)),"")</f>
        <v/>
      </c>
      <c r="AS126" s="127" t="str">
        <f ca="1">IF(AR126&lt;&gt;"",IF(ISNA(VLOOKUP($N126,OFFSET(選手情報!$A$6:$M$119,AR126,0),13,FALSE)),"","/"&amp;VLOOKUP($N126,OFFSET(選手情報!$A$6:$M$119,AR126,0),13,FALSE)),"")</f>
        <v/>
      </c>
      <c r="AT126" s="127" t="str">
        <f ca="1">IF(AR126&lt;&gt;"",IF(ISNA(VLOOKUP($N126,OFFSET(選手情報!$A$6:$BD$119,AR126,0),56,FALSE)),"",VLOOKUP($N126,OFFSET(選手情報!$A$6:$BD$119,AR126,0),56,FALSE)),"")</f>
        <v/>
      </c>
      <c r="AU126" s="127" t="str">
        <f ca="1">IF(AT126&lt;&gt;"",IF(ISNA(VLOOKUP($N126,OFFSET(選手情報!$A$6:$M$119,AT126,0),13,FALSE)),"","/"&amp;VLOOKUP($N126,OFFSET(選手情報!$A$6:$M$119,AT126,0),13,FALSE)),"")</f>
        <v/>
      </c>
      <c r="AV126" s="127" t="str">
        <f ca="1">IF(AT126&lt;&gt;"",IF(ISNA(VLOOKUP($N126,OFFSET(選手情報!$A$6:$BD$119,AT126,0),56,FALSE)),"",VLOOKUP($N126,OFFSET(選手情報!$A$6:$BD$119,AT126,0),56,FALSE)),"")</f>
        <v/>
      </c>
      <c r="AW126" s="127" t="str">
        <f ca="1">IF(AV126&lt;&gt;"",IF(ISNA(VLOOKUP($N126,OFFSET(選手情報!$A$6:$M$119,AV126,0),13,FALSE)),"","/"&amp;VLOOKUP($N126,OFFSET(選手情報!$A$6:$M$119,AV126,0),13,FALSE)),"")</f>
        <v/>
      </c>
      <c r="AX126" s="127" t="str">
        <f ca="1">IF(AV126&lt;&gt;"",IF(ISNA(VLOOKUP($N126,OFFSET(選手情報!$A$6:$BD$119,AV126,0),56,FALSE)),"",VLOOKUP($N126,OFFSET(選手情報!$A$6:$BD$119,AV126,0),56,FALSE)),"")</f>
        <v/>
      </c>
      <c r="AY126" s="127" t="str">
        <f ca="1">IF(AX126&lt;&gt;"",IF(ISNA(VLOOKUP($N126,OFFSET(選手情報!$A$6:$M$119,AX126,0),13,FALSE)),"","/"&amp;VLOOKUP($N126,OFFSET(選手情報!$A$6:$M$119,AX126,0),13,FALSE)),"")</f>
        <v/>
      </c>
      <c r="AZ126" s="127" t="str">
        <f ca="1">IF(AX126&lt;&gt;"",IF(ISNA(VLOOKUP($N126,OFFSET(選手情報!$A$6:$BD$119,AX126,0),56,FALSE)),"",VLOOKUP($N126,OFFSET(選手情報!$A$6:$BD$119,AX126,0),56,FALSE)),"")</f>
        <v/>
      </c>
      <c r="BA126" s="127" t="str">
        <f ca="1">IF(AZ126&lt;&gt;"",IF(ISNA(VLOOKUP($N126,OFFSET(選手情報!$A$6:$M$119,AZ126,0),13,FALSE)),"","/"&amp;VLOOKUP($N126,OFFSET(選手情報!$A$6:$M$119,AZ126,0),13,FALSE)),"")</f>
        <v/>
      </c>
      <c r="BB126" s="127" t="str">
        <f ca="1">IF(AZ126&lt;&gt;"",IF(ISNA(VLOOKUP($N126,OFFSET(選手情報!$A$6:$BD$119,AZ126,0),56,FALSE)),"",VLOOKUP($N126,OFFSET(選手情報!$A$6:$BD$119,AZ126,0),56,FALSE)),"")</f>
        <v/>
      </c>
      <c r="BC126" s="127" t="str">
        <f ca="1">IF(BB126&lt;&gt;"",IF(ISNA(VLOOKUP($N126,OFFSET(選手情報!$A$6:$M$119,BB126,0),13,FALSE)),"","/"&amp;VLOOKUP($N126,OFFSET(選手情報!$A$6:$M$119,BB126,0),13,FALSE)),"")</f>
        <v/>
      </c>
      <c r="BD126" s="127" t="str">
        <f ca="1">IF(BB126&lt;&gt;"",IF(ISNA(VLOOKUP($N126,OFFSET(選手情報!$A$6:$BD$119,BB126,0),56,FALSE)),"",VLOOKUP($N126,OFFSET(選手情報!$A$6:$BD$119,BB126,0),56,FALSE)),"")</f>
        <v/>
      </c>
      <c r="BE126" s="127" t="str">
        <f ca="1">IF(BD126&lt;&gt;"",IF(ISNA(VLOOKUP($N126,OFFSET(選手情報!$A$6:$M$119,BD126,0),13,FALSE)),"","/"&amp;VLOOKUP($N126,OFFSET(選手情報!$A$6:$M$119,BD126,0),13,FALSE)),"")</f>
        <v/>
      </c>
      <c r="BF126" s="127" t="str">
        <f ca="1">IF(BD126&lt;&gt;"",IF(ISNA(VLOOKUP($N126,OFFSET(選手情報!$A$6:$BD$119,BD126,0),56,FALSE)),"",VLOOKUP($N126,OFFSET(選手情報!$A$6:$BD$119,BD126,0),56,FALSE)),"")</f>
        <v/>
      </c>
      <c r="BG126" s="127" t="str">
        <f ca="1">IF(BF126&lt;&gt;"",IF(ISNA(VLOOKUP($N126,OFFSET(選手情報!$A$6:$M$119,BF126,0),13,FALSE)),"","/"&amp;VLOOKUP($N126,OFFSET(選手情報!$A$6:$M$119,BF126,0),13,FALSE)),"")</f>
        <v/>
      </c>
      <c r="BH126" s="127" t="str">
        <f ca="1">IF(BF126&lt;&gt;"",IF(ISNA(VLOOKUP($N126,OFFSET(選手情報!$A$6:$BD$119,BF126,0),56,FALSE)),"",VLOOKUP($N126,OFFSET(選手情報!$A$6:$BD$119,BF126,0),56,FALSE)),"")</f>
        <v/>
      </c>
      <c r="BI126" s="127" t="str">
        <f ca="1">IF(BH126&lt;&gt;"",IF(ISNA(VLOOKUP($N126,OFFSET(選手情報!$A$6:$M$119,BH126,0),13,FALSE)),"","/"&amp;VLOOKUP($N126,OFFSET(選手情報!$A$6:$M$119,BH126,0),13,FALSE)),"")</f>
        <v/>
      </c>
    </row>
    <row r="127" spans="1:61" s="127" customFormat="1" ht="12.6" customHeight="1">
      <c r="A127" s="128" t="str">
        <f>IF(ISNA(VLOOKUP($C$2&amp;N127,選手データ!A:H,3,FALSE)),"",IF(M127&lt;&gt;M126,VLOOKUP($C$2&amp;N127,選手データ!A:H,3,FALSE),""))</f>
        <v/>
      </c>
      <c r="B127" s="129" t="str">
        <f>IF(A127&lt;&gt;"",VLOOKUP($C$2&amp;N127,選手データ!A:H,4,FALSE),"")</f>
        <v/>
      </c>
      <c r="C127" s="129" t="str">
        <f>IF(A127&lt;&gt;"",VLOOKUP($C$2&amp;N127,選手データ!A:H,5,FALSE),"")</f>
        <v/>
      </c>
      <c r="D127" s="129" t="str">
        <f>IF(A127&lt;&gt;"",VLOOKUP($C$2&amp;N127,選手データ!A:H,6,FALSE),"")</f>
        <v/>
      </c>
      <c r="E127" s="129" t="str">
        <f>IF(A127&lt;&gt;"",VLOOKUP($C$2&amp;N127,選手データ!A:H,7,FALSE),"")</f>
        <v/>
      </c>
      <c r="F127" s="130" t="str">
        <f>IF(A127&lt;&gt;"",VLOOKUP($C$2&amp;N127,選手データ!A:H,8,FALSE),"")</f>
        <v/>
      </c>
      <c r="G127" s="130" t="str">
        <f>IF(F127&lt;&gt;"",IF(DATEDIF(F127,設定!$B$12,"Y")&lt;20,"〇",""),"")</f>
        <v/>
      </c>
      <c r="H127" s="131" t="str">
        <f t="shared" ca="1" si="13"/>
        <v/>
      </c>
      <c r="I127" s="132" t="str">
        <f t="shared" ca="1" si="14"/>
        <v/>
      </c>
      <c r="J127" s="131" t="str">
        <f t="shared" ca="1" si="15"/>
        <v/>
      </c>
      <c r="K127" s="130" t="str">
        <f>IF(A127&lt;&gt;"",IF(COUNTIF(リレーチーム情報!$B$17:$B$22,A127&amp;E127)=1,"〇",""),"")</f>
        <v/>
      </c>
      <c r="L127" s="133" t="str">
        <f>IF(A127&lt;&gt;"",IF(COUNTIF(リレーチーム情報!$B$23:$B$28,A127&amp;E127)=1,"〇",""),"")</f>
        <v/>
      </c>
      <c r="M127" s="127">
        <f>IF(学校情報!$A$4&lt;&gt;"",0,IF(S126=0,MAX($M$109:M126)+1,M126))</f>
        <v>0</v>
      </c>
      <c r="N127" s="127" t="str">
        <f>IF(M127&lt;&gt;0,VLOOKUP(M127,選手情報!BI:BJ,2,FALSE),"")</f>
        <v/>
      </c>
      <c r="O127" s="127" t="str">
        <f ca="1">IF(M127&lt;&gt;0,VLOOKUP(N127,OFFSET(選手情報!$A$6:$W$119,IF(M127&lt;&gt;M126,0,R126),0),13,FALSE),"")</f>
        <v/>
      </c>
      <c r="P127" s="127" t="str">
        <f ca="1">IF(M127&lt;&gt;0,VLOOKUP(N127,OFFSET(選手情報!$A$6:$W$119,IF(M127&lt;&gt;M126,0,R126),0),16,FALSE),"")</f>
        <v/>
      </c>
      <c r="Q127" s="127" t="str">
        <f ca="1">IF(M127&lt;&gt;0,VLOOKUP(N127,OFFSET(選手情報!$A$6:$W$119,IF(M127&lt;&gt;M126,0,R126),0),21,FALSE),"")</f>
        <v/>
      </c>
      <c r="R127" s="127">
        <f ca="1">IF(M127&lt;&gt;0,VLOOKUP(N127,OFFSET(選手情報!$A$6:$BD$119,IF(M127&lt;&gt;M126,0,R126),0),56,FALSE),0)</f>
        <v>0</v>
      </c>
      <c r="S127" s="127">
        <f ca="1">IF(M127&lt;&gt;0,IF(ISNA(R127),0,COUNTIF(OFFSET(選手情報!$A$6:$A$119,R127,0),N127)),0)</f>
        <v>0</v>
      </c>
      <c r="U127" s="127">
        <f t="shared" si="16"/>
        <v>0</v>
      </c>
      <c r="V127" s="127">
        <f t="shared" ca="1" si="17"/>
        <v>1</v>
      </c>
      <c r="W127" s="127">
        <f t="shared" ca="1" si="12"/>
        <v>0</v>
      </c>
      <c r="X127" s="127" t="str">
        <f t="shared" ca="1" si="18"/>
        <v/>
      </c>
      <c r="Y127" s="127" t="str">
        <f>IF($A127&lt;&gt;"",IF(ISNA(VLOOKUP($N127,選手情報!$A$6:$M$119,13,FALSE)),"","/"&amp;VLOOKUP($N127,選手情報!$A$6:$M$119,13,FALSE)),"")</f>
        <v/>
      </c>
      <c r="Z127" s="127" t="str">
        <f ca="1">IF(Y127&lt;&gt;"",IF(ISNA(VLOOKUP($N127,OFFSET(選手情報!$A$6:$BD$119,0,0),56,FALSE)),"",VLOOKUP($N127,OFFSET(選手情報!$A$6:$BD$119,0,0),56,FALSE)),"")</f>
        <v/>
      </c>
      <c r="AA127" s="127" t="str">
        <f ca="1">IF(Z127&lt;&gt;"",IF(ISNA(VLOOKUP($N127,OFFSET(選手情報!$A$6:$M$119,Z127,0),13,FALSE)),"","/"&amp;VLOOKUP($N127,OFFSET(選手情報!$A$6:$M$119,Z127,0),13,FALSE)),"")</f>
        <v/>
      </c>
      <c r="AB127" s="127" t="str">
        <f ca="1">IF(Z127&lt;&gt;"",IF(ISNA(VLOOKUP($N127,OFFSET(選手情報!$A$6:$BD$119,Z127,0),56,FALSE)),"",VLOOKUP($N127,OFFSET(選手情報!$A$6:$BD$119,Z127,0),56,FALSE)),"")</f>
        <v/>
      </c>
      <c r="AC127" s="127" t="str">
        <f ca="1">IF(AB127&lt;&gt;"",IF(ISNA(VLOOKUP($N127,OFFSET(選手情報!$A$6:$M$119,AB127,0),13,FALSE)),"","/"&amp;VLOOKUP($N127,OFFSET(選手情報!$A$6:$M$119,AB127,0),13,FALSE)),"")</f>
        <v/>
      </c>
      <c r="AD127" s="127" t="str">
        <f ca="1">IF(AB127&lt;&gt;"",IF(ISNA(VLOOKUP($N127,OFFSET(選手情報!$A$6:$BD$119,AB127,0),56,FALSE)),"",VLOOKUP($N127,OFFSET(選手情報!$A$6:$BD$119,AB127,0),56,FALSE)),"")</f>
        <v/>
      </c>
      <c r="AE127" s="127" t="str">
        <f ca="1">IF(AD127&lt;&gt;"",IF(ISNA(VLOOKUP($N127,OFFSET(選手情報!$A$6:$M$119,AD127,0),13,FALSE)),"","/"&amp;VLOOKUP($N127,OFFSET(選手情報!$A$6:$M$119,AD127,0),13,FALSE)),"")</f>
        <v/>
      </c>
      <c r="AF127" s="127" t="str">
        <f ca="1">IF(AD127&lt;&gt;"",IF(ISNA(VLOOKUP($N127,OFFSET(選手情報!$A$6:$BD$119,AD127,0),56,FALSE)),"",VLOOKUP($N127,OFFSET(選手情報!$A$6:$BD$119,AD127,0),56,FALSE)),"")</f>
        <v/>
      </c>
      <c r="AG127" s="127" t="str">
        <f ca="1">IF(AF127&lt;&gt;"",IF(ISNA(VLOOKUP($N127,OFFSET(選手情報!$A$6:$M$119,AF127,0),13,FALSE)),"","/"&amp;VLOOKUP($N127,OFFSET(選手情報!$A$6:$M$119,AF127,0),13,FALSE)),"")</f>
        <v/>
      </c>
      <c r="AH127" s="127" t="str">
        <f ca="1">IF(AF127&lt;&gt;"",IF(ISNA(VLOOKUP($N127,OFFSET(選手情報!$A$6:$BD$119,AF127,0),56,FALSE)),"",VLOOKUP($N127,OFFSET(選手情報!$A$6:$BD$119,AF127,0),56,FALSE)),"")</f>
        <v/>
      </c>
      <c r="AI127" s="127" t="str">
        <f ca="1">IF(AH127&lt;&gt;"",IF(ISNA(VLOOKUP($N127,OFFSET(選手情報!$A$6:$M$119,AH127,0),13,FALSE)),"","/"&amp;VLOOKUP($N127,OFFSET(選手情報!$A$6:$M$119,AH127,0),13,FALSE)),"")</f>
        <v/>
      </c>
      <c r="AJ127" s="127" t="str">
        <f ca="1">IF(AH127&lt;&gt;"",IF(ISNA(VLOOKUP($N127,OFFSET(選手情報!$A$6:$BD$119,AH127,0),56,FALSE)),"",VLOOKUP($N127,OFFSET(選手情報!$A$6:$BD$119,AH127,0),56,FALSE)),"")</f>
        <v/>
      </c>
      <c r="AK127" s="127" t="str">
        <f ca="1">IF(AJ127&lt;&gt;"",IF(ISNA(VLOOKUP($N127,OFFSET(選手情報!$A$6:$M$119,AJ127,0),13,FALSE)),"","/"&amp;VLOOKUP($N127,OFFSET(選手情報!$A$6:$M$119,AJ127,0),13,FALSE)),"")</f>
        <v/>
      </c>
      <c r="AL127" s="127" t="str">
        <f ca="1">IF(AJ127&lt;&gt;"",IF(ISNA(VLOOKUP($N127,OFFSET(選手情報!$A$6:$BD$119,AJ127,0),56,FALSE)),"",VLOOKUP($N127,OFFSET(選手情報!$A$6:$BD$119,AJ127,0),56,FALSE)),"")</f>
        <v/>
      </c>
      <c r="AM127" s="127" t="str">
        <f ca="1">IF(AL127&lt;&gt;"",IF(ISNA(VLOOKUP($N127,OFFSET(選手情報!$A$6:$M$119,AL127,0),13,FALSE)),"","/"&amp;VLOOKUP($N127,OFFSET(選手情報!$A$6:$M$119,AL127,0),13,FALSE)),"")</f>
        <v/>
      </c>
      <c r="AN127" s="127" t="str">
        <f ca="1">IF(AL127&lt;&gt;"",IF(ISNA(VLOOKUP($N127,OFFSET(選手情報!$A$6:$BD$119,AL127,0),56,FALSE)),"",VLOOKUP($N127,OFFSET(選手情報!$A$6:$BD$119,AL127,0),56,FALSE)),"")</f>
        <v/>
      </c>
      <c r="AO127" s="127" t="str">
        <f ca="1">IF(AN127&lt;&gt;"",IF(ISNA(VLOOKUP($N127,OFFSET(選手情報!$A$6:$M$119,AN127,0),13,FALSE)),"","/"&amp;VLOOKUP($N127,OFFSET(選手情報!$A$6:$M$119,AN127,0),13,FALSE)),"")</f>
        <v/>
      </c>
      <c r="AP127" s="127" t="str">
        <f ca="1">IF(AN127&lt;&gt;"",IF(ISNA(VLOOKUP($N127,OFFSET(選手情報!$A$6:$BD$119,AN127,0),56,FALSE)),"",VLOOKUP($N127,OFFSET(選手情報!$A$6:$BD$119,AN127,0),56,FALSE)),"")</f>
        <v/>
      </c>
      <c r="AQ127" s="127" t="str">
        <f ca="1">IF(AP127&lt;&gt;"",IF(ISNA(VLOOKUP($N127,OFFSET(選手情報!$A$6:$M$119,AP127,0),13,FALSE)),"","/"&amp;VLOOKUP($N127,OFFSET(選手情報!$A$6:$M$119,AP127,0),13,FALSE)),"")</f>
        <v/>
      </c>
      <c r="AR127" s="127" t="str">
        <f ca="1">IF(AP127&lt;&gt;"",IF(ISNA(VLOOKUP($N127,OFFSET(選手情報!$A$6:$BD$119,AP127,0),56,FALSE)),"",VLOOKUP($N127,OFFSET(選手情報!$A$6:$BD$119,AP127,0),56,FALSE)),"")</f>
        <v/>
      </c>
      <c r="AS127" s="127" t="str">
        <f ca="1">IF(AR127&lt;&gt;"",IF(ISNA(VLOOKUP($N127,OFFSET(選手情報!$A$6:$M$119,AR127,0),13,FALSE)),"","/"&amp;VLOOKUP($N127,OFFSET(選手情報!$A$6:$M$119,AR127,0),13,FALSE)),"")</f>
        <v/>
      </c>
      <c r="AT127" s="127" t="str">
        <f ca="1">IF(AR127&lt;&gt;"",IF(ISNA(VLOOKUP($N127,OFFSET(選手情報!$A$6:$BD$119,AR127,0),56,FALSE)),"",VLOOKUP($N127,OFFSET(選手情報!$A$6:$BD$119,AR127,0),56,FALSE)),"")</f>
        <v/>
      </c>
      <c r="AU127" s="127" t="str">
        <f ca="1">IF(AT127&lt;&gt;"",IF(ISNA(VLOOKUP($N127,OFFSET(選手情報!$A$6:$M$119,AT127,0),13,FALSE)),"","/"&amp;VLOOKUP($N127,OFFSET(選手情報!$A$6:$M$119,AT127,0),13,FALSE)),"")</f>
        <v/>
      </c>
      <c r="AV127" s="127" t="str">
        <f ca="1">IF(AT127&lt;&gt;"",IF(ISNA(VLOOKUP($N127,OFFSET(選手情報!$A$6:$BD$119,AT127,0),56,FALSE)),"",VLOOKUP($N127,OFFSET(選手情報!$A$6:$BD$119,AT127,0),56,FALSE)),"")</f>
        <v/>
      </c>
      <c r="AW127" s="127" t="str">
        <f ca="1">IF(AV127&lt;&gt;"",IF(ISNA(VLOOKUP($N127,OFFSET(選手情報!$A$6:$M$119,AV127,0),13,FALSE)),"","/"&amp;VLOOKUP($N127,OFFSET(選手情報!$A$6:$M$119,AV127,0),13,FALSE)),"")</f>
        <v/>
      </c>
      <c r="AX127" s="127" t="str">
        <f ca="1">IF(AV127&lt;&gt;"",IF(ISNA(VLOOKUP($N127,OFFSET(選手情報!$A$6:$BD$119,AV127,0),56,FALSE)),"",VLOOKUP($N127,OFFSET(選手情報!$A$6:$BD$119,AV127,0),56,FALSE)),"")</f>
        <v/>
      </c>
      <c r="AY127" s="127" t="str">
        <f ca="1">IF(AX127&lt;&gt;"",IF(ISNA(VLOOKUP($N127,OFFSET(選手情報!$A$6:$M$119,AX127,0),13,FALSE)),"","/"&amp;VLOOKUP($N127,OFFSET(選手情報!$A$6:$M$119,AX127,0),13,FALSE)),"")</f>
        <v/>
      </c>
      <c r="AZ127" s="127" t="str">
        <f ca="1">IF(AX127&lt;&gt;"",IF(ISNA(VLOOKUP($N127,OFFSET(選手情報!$A$6:$BD$119,AX127,0),56,FALSE)),"",VLOOKUP($N127,OFFSET(選手情報!$A$6:$BD$119,AX127,0),56,FALSE)),"")</f>
        <v/>
      </c>
      <c r="BA127" s="127" t="str">
        <f ca="1">IF(AZ127&lt;&gt;"",IF(ISNA(VLOOKUP($N127,OFFSET(選手情報!$A$6:$M$119,AZ127,0),13,FALSE)),"","/"&amp;VLOOKUP($N127,OFFSET(選手情報!$A$6:$M$119,AZ127,0),13,FALSE)),"")</f>
        <v/>
      </c>
      <c r="BB127" s="127" t="str">
        <f ca="1">IF(AZ127&lt;&gt;"",IF(ISNA(VLOOKUP($N127,OFFSET(選手情報!$A$6:$BD$119,AZ127,0),56,FALSE)),"",VLOOKUP($N127,OFFSET(選手情報!$A$6:$BD$119,AZ127,0),56,FALSE)),"")</f>
        <v/>
      </c>
      <c r="BC127" s="127" t="str">
        <f ca="1">IF(BB127&lt;&gt;"",IF(ISNA(VLOOKUP($N127,OFFSET(選手情報!$A$6:$M$119,BB127,0),13,FALSE)),"","/"&amp;VLOOKUP($N127,OFFSET(選手情報!$A$6:$M$119,BB127,0),13,FALSE)),"")</f>
        <v/>
      </c>
      <c r="BD127" s="127" t="str">
        <f ca="1">IF(BB127&lt;&gt;"",IF(ISNA(VLOOKUP($N127,OFFSET(選手情報!$A$6:$BD$119,BB127,0),56,FALSE)),"",VLOOKUP($N127,OFFSET(選手情報!$A$6:$BD$119,BB127,0),56,FALSE)),"")</f>
        <v/>
      </c>
      <c r="BE127" s="127" t="str">
        <f ca="1">IF(BD127&lt;&gt;"",IF(ISNA(VLOOKUP($N127,OFFSET(選手情報!$A$6:$M$119,BD127,0),13,FALSE)),"","/"&amp;VLOOKUP($N127,OFFSET(選手情報!$A$6:$M$119,BD127,0),13,FALSE)),"")</f>
        <v/>
      </c>
      <c r="BF127" s="127" t="str">
        <f ca="1">IF(BD127&lt;&gt;"",IF(ISNA(VLOOKUP($N127,OFFSET(選手情報!$A$6:$BD$119,BD127,0),56,FALSE)),"",VLOOKUP($N127,OFFSET(選手情報!$A$6:$BD$119,BD127,0),56,FALSE)),"")</f>
        <v/>
      </c>
      <c r="BG127" s="127" t="str">
        <f ca="1">IF(BF127&lt;&gt;"",IF(ISNA(VLOOKUP($N127,OFFSET(選手情報!$A$6:$M$119,BF127,0),13,FALSE)),"","/"&amp;VLOOKUP($N127,OFFSET(選手情報!$A$6:$M$119,BF127,0),13,FALSE)),"")</f>
        <v/>
      </c>
      <c r="BH127" s="127" t="str">
        <f ca="1">IF(BF127&lt;&gt;"",IF(ISNA(VLOOKUP($N127,OFFSET(選手情報!$A$6:$BD$119,BF127,0),56,FALSE)),"",VLOOKUP($N127,OFFSET(選手情報!$A$6:$BD$119,BF127,0),56,FALSE)),"")</f>
        <v/>
      </c>
      <c r="BI127" s="127" t="str">
        <f ca="1">IF(BH127&lt;&gt;"",IF(ISNA(VLOOKUP($N127,OFFSET(選手情報!$A$6:$M$119,BH127,0),13,FALSE)),"","/"&amp;VLOOKUP($N127,OFFSET(選手情報!$A$6:$M$119,BH127,0),13,FALSE)),"")</f>
        <v/>
      </c>
    </row>
    <row r="128" spans="1:61" s="127" customFormat="1" ht="12.6" customHeight="1">
      <c r="A128" s="128" t="str">
        <f>IF(ISNA(VLOOKUP($C$2&amp;N128,選手データ!A:H,3,FALSE)),"",IF(M128&lt;&gt;M127,VLOOKUP($C$2&amp;N128,選手データ!A:H,3,FALSE),""))</f>
        <v/>
      </c>
      <c r="B128" s="129" t="str">
        <f>IF(A128&lt;&gt;"",VLOOKUP($C$2&amp;N128,選手データ!A:H,4,FALSE),"")</f>
        <v/>
      </c>
      <c r="C128" s="129" t="str">
        <f>IF(A128&lt;&gt;"",VLOOKUP($C$2&amp;N128,選手データ!A:H,5,FALSE),"")</f>
        <v/>
      </c>
      <c r="D128" s="129" t="str">
        <f>IF(A128&lt;&gt;"",VLOOKUP($C$2&amp;N128,選手データ!A:H,6,FALSE),"")</f>
        <v/>
      </c>
      <c r="E128" s="129" t="str">
        <f>IF(A128&lt;&gt;"",VLOOKUP($C$2&amp;N128,選手データ!A:H,7,FALSE),"")</f>
        <v/>
      </c>
      <c r="F128" s="130" t="str">
        <f>IF(A128&lt;&gt;"",VLOOKUP($C$2&amp;N128,選手データ!A:H,8,FALSE),"")</f>
        <v/>
      </c>
      <c r="G128" s="130" t="str">
        <f>IF(F128&lt;&gt;"",IF(DATEDIF(F128,設定!$B$12,"Y")&lt;20,"〇",""),"")</f>
        <v/>
      </c>
      <c r="H128" s="131" t="str">
        <f t="shared" ca="1" si="13"/>
        <v/>
      </c>
      <c r="I128" s="132" t="str">
        <f t="shared" ca="1" si="14"/>
        <v/>
      </c>
      <c r="J128" s="131" t="str">
        <f t="shared" ca="1" si="15"/>
        <v/>
      </c>
      <c r="K128" s="130" t="str">
        <f>IF(A128&lt;&gt;"",IF(COUNTIF(リレーチーム情報!$B$17:$B$22,A128&amp;E128)=1,"〇",""),"")</f>
        <v/>
      </c>
      <c r="L128" s="133" t="str">
        <f>IF(A128&lt;&gt;"",IF(COUNTIF(リレーチーム情報!$B$23:$B$28,A128&amp;E128)=1,"〇",""),"")</f>
        <v/>
      </c>
      <c r="M128" s="127">
        <f>IF(学校情報!$A$4&lt;&gt;"",0,IF(S127=0,MAX($M$109:M127)+1,M127))</f>
        <v>0</v>
      </c>
      <c r="N128" s="127" t="str">
        <f>IF(M128&lt;&gt;0,VLOOKUP(M128,選手情報!BI:BJ,2,FALSE),"")</f>
        <v/>
      </c>
      <c r="O128" s="127" t="str">
        <f ca="1">IF(M128&lt;&gt;0,VLOOKUP(N128,OFFSET(選手情報!$A$6:$W$119,IF(M128&lt;&gt;M127,0,R127),0),13,FALSE),"")</f>
        <v/>
      </c>
      <c r="P128" s="127" t="str">
        <f ca="1">IF(M128&lt;&gt;0,VLOOKUP(N128,OFFSET(選手情報!$A$6:$W$119,IF(M128&lt;&gt;M127,0,R127),0),16,FALSE),"")</f>
        <v/>
      </c>
      <c r="Q128" s="127" t="str">
        <f ca="1">IF(M128&lt;&gt;0,VLOOKUP(N128,OFFSET(選手情報!$A$6:$W$119,IF(M128&lt;&gt;M127,0,R127),0),21,FALSE),"")</f>
        <v/>
      </c>
      <c r="R128" s="127">
        <f ca="1">IF(M128&lt;&gt;0,VLOOKUP(N128,OFFSET(選手情報!$A$6:$BD$119,IF(M128&lt;&gt;M127,0,R127),0),56,FALSE),0)</f>
        <v>0</v>
      </c>
      <c r="S128" s="127">
        <f ca="1">IF(M128&lt;&gt;0,IF(ISNA(R128),0,COUNTIF(OFFSET(選手情報!$A$6:$A$119,R128,0),N128)),0)</f>
        <v>0</v>
      </c>
      <c r="U128" s="127">
        <f t="shared" si="16"/>
        <v>0</v>
      </c>
      <c r="V128" s="127">
        <f t="shared" ca="1" si="17"/>
        <v>1</v>
      </c>
      <c r="W128" s="127">
        <f t="shared" ca="1" si="12"/>
        <v>0</v>
      </c>
      <c r="X128" s="127" t="str">
        <f t="shared" ca="1" si="18"/>
        <v/>
      </c>
      <c r="Y128" s="127" t="str">
        <f>IF($A128&lt;&gt;"",IF(ISNA(VLOOKUP($N128,選手情報!$A$6:$M$119,13,FALSE)),"","/"&amp;VLOOKUP($N128,選手情報!$A$6:$M$119,13,FALSE)),"")</f>
        <v/>
      </c>
      <c r="Z128" s="127" t="str">
        <f ca="1">IF(Y128&lt;&gt;"",IF(ISNA(VLOOKUP($N128,OFFSET(選手情報!$A$6:$BD$119,0,0),56,FALSE)),"",VLOOKUP($N128,OFFSET(選手情報!$A$6:$BD$119,0,0),56,FALSE)),"")</f>
        <v/>
      </c>
      <c r="AA128" s="127" t="str">
        <f ca="1">IF(Z128&lt;&gt;"",IF(ISNA(VLOOKUP($N128,OFFSET(選手情報!$A$6:$M$119,Z128,0),13,FALSE)),"","/"&amp;VLOOKUP($N128,OFFSET(選手情報!$A$6:$M$119,Z128,0),13,FALSE)),"")</f>
        <v/>
      </c>
      <c r="AB128" s="127" t="str">
        <f ca="1">IF(Z128&lt;&gt;"",IF(ISNA(VLOOKUP($N128,OFFSET(選手情報!$A$6:$BD$119,Z128,0),56,FALSE)),"",VLOOKUP($N128,OFFSET(選手情報!$A$6:$BD$119,Z128,0),56,FALSE)),"")</f>
        <v/>
      </c>
      <c r="AC128" s="127" t="str">
        <f ca="1">IF(AB128&lt;&gt;"",IF(ISNA(VLOOKUP($N128,OFFSET(選手情報!$A$6:$M$119,AB128,0),13,FALSE)),"","/"&amp;VLOOKUP($N128,OFFSET(選手情報!$A$6:$M$119,AB128,0),13,FALSE)),"")</f>
        <v/>
      </c>
      <c r="AD128" s="127" t="str">
        <f ca="1">IF(AB128&lt;&gt;"",IF(ISNA(VLOOKUP($N128,OFFSET(選手情報!$A$6:$BD$119,AB128,0),56,FALSE)),"",VLOOKUP($N128,OFFSET(選手情報!$A$6:$BD$119,AB128,0),56,FALSE)),"")</f>
        <v/>
      </c>
      <c r="AE128" s="127" t="str">
        <f ca="1">IF(AD128&lt;&gt;"",IF(ISNA(VLOOKUP($N128,OFFSET(選手情報!$A$6:$M$119,AD128,0),13,FALSE)),"","/"&amp;VLOOKUP($N128,OFFSET(選手情報!$A$6:$M$119,AD128,0),13,FALSE)),"")</f>
        <v/>
      </c>
      <c r="AF128" s="127" t="str">
        <f ca="1">IF(AD128&lt;&gt;"",IF(ISNA(VLOOKUP($N128,OFFSET(選手情報!$A$6:$BD$119,AD128,0),56,FALSE)),"",VLOOKUP($N128,OFFSET(選手情報!$A$6:$BD$119,AD128,0),56,FALSE)),"")</f>
        <v/>
      </c>
      <c r="AG128" s="127" t="str">
        <f ca="1">IF(AF128&lt;&gt;"",IF(ISNA(VLOOKUP($N128,OFFSET(選手情報!$A$6:$M$119,AF128,0),13,FALSE)),"","/"&amp;VLOOKUP($N128,OFFSET(選手情報!$A$6:$M$119,AF128,0),13,FALSE)),"")</f>
        <v/>
      </c>
      <c r="AH128" s="127" t="str">
        <f ca="1">IF(AF128&lt;&gt;"",IF(ISNA(VLOOKUP($N128,OFFSET(選手情報!$A$6:$BD$119,AF128,0),56,FALSE)),"",VLOOKUP($N128,OFFSET(選手情報!$A$6:$BD$119,AF128,0),56,FALSE)),"")</f>
        <v/>
      </c>
      <c r="AI128" s="127" t="str">
        <f ca="1">IF(AH128&lt;&gt;"",IF(ISNA(VLOOKUP($N128,OFFSET(選手情報!$A$6:$M$119,AH128,0),13,FALSE)),"","/"&amp;VLOOKUP($N128,OFFSET(選手情報!$A$6:$M$119,AH128,0),13,FALSE)),"")</f>
        <v/>
      </c>
      <c r="AJ128" s="127" t="str">
        <f ca="1">IF(AH128&lt;&gt;"",IF(ISNA(VLOOKUP($N128,OFFSET(選手情報!$A$6:$BD$119,AH128,0),56,FALSE)),"",VLOOKUP($N128,OFFSET(選手情報!$A$6:$BD$119,AH128,0),56,FALSE)),"")</f>
        <v/>
      </c>
      <c r="AK128" s="127" t="str">
        <f ca="1">IF(AJ128&lt;&gt;"",IF(ISNA(VLOOKUP($N128,OFFSET(選手情報!$A$6:$M$119,AJ128,0),13,FALSE)),"","/"&amp;VLOOKUP($N128,OFFSET(選手情報!$A$6:$M$119,AJ128,0),13,FALSE)),"")</f>
        <v/>
      </c>
      <c r="AL128" s="127" t="str">
        <f ca="1">IF(AJ128&lt;&gt;"",IF(ISNA(VLOOKUP($N128,OFFSET(選手情報!$A$6:$BD$119,AJ128,0),56,FALSE)),"",VLOOKUP($N128,OFFSET(選手情報!$A$6:$BD$119,AJ128,0),56,FALSE)),"")</f>
        <v/>
      </c>
      <c r="AM128" s="127" t="str">
        <f ca="1">IF(AL128&lt;&gt;"",IF(ISNA(VLOOKUP($N128,OFFSET(選手情報!$A$6:$M$119,AL128,0),13,FALSE)),"","/"&amp;VLOOKUP($N128,OFFSET(選手情報!$A$6:$M$119,AL128,0),13,FALSE)),"")</f>
        <v/>
      </c>
      <c r="AN128" s="127" t="str">
        <f ca="1">IF(AL128&lt;&gt;"",IF(ISNA(VLOOKUP($N128,OFFSET(選手情報!$A$6:$BD$119,AL128,0),56,FALSE)),"",VLOOKUP($N128,OFFSET(選手情報!$A$6:$BD$119,AL128,0),56,FALSE)),"")</f>
        <v/>
      </c>
      <c r="AO128" s="127" t="str">
        <f ca="1">IF(AN128&lt;&gt;"",IF(ISNA(VLOOKUP($N128,OFFSET(選手情報!$A$6:$M$119,AN128,0),13,FALSE)),"","/"&amp;VLOOKUP($N128,OFFSET(選手情報!$A$6:$M$119,AN128,0),13,FALSE)),"")</f>
        <v/>
      </c>
      <c r="AP128" s="127" t="str">
        <f ca="1">IF(AN128&lt;&gt;"",IF(ISNA(VLOOKUP($N128,OFFSET(選手情報!$A$6:$BD$119,AN128,0),56,FALSE)),"",VLOOKUP($N128,OFFSET(選手情報!$A$6:$BD$119,AN128,0),56,FALSE)),"")</f>
        <v/>
      </c>
      <c r="AQ128" s="127" t="str">
        <f ca="1">IF(AP128&lt;&gt;"",IF(ISNA(VLOOKUP($N128,OFFSET(選手情報!$A$6:$M$119,AP128,0),13,FALSE)),"","/"&amp;VLOOKUP($N128,OFFSET(選手情報!$A$6:$M$119,AP128,0),13,FALSE)),"")</f>
        <v/>
      </c>
      <c r="AR128" s="127" t="str">
        <f ca="1">IF(AP128&lt;&gt;"",IF(ISNA(VLOOKUP($N128,OFFSET(選手情報!$A$6:$BD$119,AP128,0),56,FALSE)),"",VLOOKUP($N128,OFFSET(選手情報!$A$6:$BD$119,AP128,0),56,FALSE)),"")</f>
        <v/>
      </c>
      <c r="AS128" s="127" t="str">
        <f ca="1">IF(AR128&lt;&gt;"",IF(ISNA(VLOOKUP($N128,OFFSET(選手情報!$A$6:$M$119,AR128,0),13,FALSE)),"","/"&amp;VLOOKUP($N128,OFFSET(選手情報!$A$6:$M$119,AR128,0),13,FALSE)),"")</f>
        <v/>
      </c>
      <c r="AT128" s="127" t="str">
        <f ca="1">IF(AR128&lt;&gt;"",IF(ISNA(VLOOKUP($N128,OFFSET(選手情報!$A$6:$BD$119,AR128,0),56,FALSE)),"",VLOOKUP($N128,OFFSET(選手情報!$A$6:$BD$119,AR128,0),56,FALSE)),"")</f>
        <v/>
      </c>
      <c r="AU128" s="127" t="str">
        <f ca="1">IF(AT128&lt;&gt;"",IF(ISNA(VLOOKUP($N128,OFFSET(選手情報!$A$6:$M$119,AT128,0),13,FALSE)),"","/"&amp;VLOOKUP($N128,OFFSET(選手情報!$A$6:$M$119,AT128,0),13,FALSE)),"")</f>
        <v/>
      </c>
      <c r="AV128" s="127" t="str">
        <f ca="1">IF(AT128&lt;&gt;"",IF(ISNA(VLOOKUP($N128,OFFSET(選手情報!$A$6:$BD$119,AT128,0),56,FALSE)),"",VLOOKUP($N128,OFFSET(選手情報!$A$6:$BD$119,AT128,0),56,FALSE)),"")</f>
        <v/>
      </c>
      <c r="AW128" s="127" t="str">
        <f ca="1">IF(AV128&lt;&gt;"",IF(ISNA(VLOOKUP($N128,OFFSET(選手情報!$A$6:$M$119,AV128,0),13,FALSE)),"","/"&amp;VLOOKUP($N128,OFFSET(選手情報!$A$6:$M$119,AV128,0),13,FALSE)),"")</f>
        <v/>
      </c>
      <c r="AX128" s="127" t="str">
        <f ca="1">IF(AV128&lt;&gt;"",IF(ISNA(VLOOKUP($N128,OFFSET(選手情報!$A$6:$BD$119,AV128,0),56,FALSE)),"",VLOOKUP($N128,OFFSET(選手情報!$A$6:$BD$119,AV128,0),56,FALSE)),"")</f>
        <v/>
      </c>
      <c r="AY128" s="127" t="str">
        <f ca="1">IF(AX128&lt;&gt;"",IF(ISNA(VLOOKUP($N128,OFFSET(選手情報!$A$6:$M$119,AX128,0),13,FALSE)),"","/"&amp;VLOOKUP($N128,OFFSET(選手情報!$A$6:$M$119,AX128,0),13,FALSE)),"")</f>
        <v/>
      </c>
      <c r="AZ128" s="127" t="str">
        <f ca="1">IF(AX128&lt;&gt;"",IF(ISNA(VLOOKUP($N128,OFFSET(選手情報!$A$6:$BD$119,AX128,0),56,FALSE)),"",VLOOKUP($N128,OFFSET(選手情報!$A$6:$BD$119,AX128,0),56,FALSE)),"")</f>
        <v/>
      </c>
      <c r="BA128" s="127" t="str">
        <f ca="1">IF(AZ128&lt;&gt;"",IF(ISNA(VLOOKUP($N128,OFFSET(選手情報!$A$6:$M$119,AZ128,0),13,FALSE)),"","/"&amp;VLOOKUP($N128,OFFSET(選手情報!$A$6:$M$119,AZ128,0),13,FALSE)),"")</f>
        <v/>
      </c>
      <c r="BB128" s="127" t="str">
        <f ca="1">IF(AZ128&lt;&gt;"",IF(ISNA(VLOOKUP($N128,OFFSET(選手情報!$A$6:$BD$119,AZ128,0),56,FALSE)),"",VLOOKUP($N128,OFFSET(選手情報!$A$6:$BD$119,AZ128,0),56,FALSE)),"")</f>
        <v/>
      </c>
      <c r="BC128" s="127" t="str">
        <f ca="1">IF(BB128&lt;&gt;"",IF(ISNA(VLOOKUP($N128,OFFSET(選手情報!$A$6:$M$119,BB128,0),13,FALSE)),"","/"&amp;VLOOKUP($N128,OFFSET(選手情報!$A$6:$M$119,BB128,0),13,FALSE)),"")</f>
        <v/>
      </c>
      <c r="BD128" s="127" t="str">
        <f ca="1">IF(BB128&lt;&gt;"",IF(ISNA(VLOOKUP($N128,OFFSET(選手情報!$A$6:$BD$119,BB128,0),56,FALSE)),"",VLOOKUP($N128,OFFSET(選手情報!$A$6:$BD$119,BB128,0),56,FALSE)),"")</f>
        <v/>
      </c>
      <c r="BE128" s="127" t="str">
        <f ca="1">IF(BD128&lt;&gt;"",IF(ISNA(VLOOKUP($N128,OFFSET(選手情報!$A$6:$M$119,BD128,0),13,FALSE)),"","/"&amp;VLOOKUP($N128,OFFSET(選手情報!$A$6:$M$119,BD128,0),13,FALSE)),"")</f>
        <v/>
      </c>
      <c r="BF128" s="127" t="str">
        <f ca="1">IF(BD128&lt;&gt;"",IF(ISNA(VLOOKUP($N128,OFFSET(選手情報!$A$6:$BD$119,BD128,0),56,FALSE)),"",VLOOKUP($N128,OFFSET(選手情報!$A$6:$BD$119,BD128,0),56,FALSE)),"")</f>
        <v/>
      </c>
      <c r="BG128" s="127" t="str">
        <f ca="1">IF(BF128&lt;&gt;"",IF(ISNA(VLOOKUP($N128,OFFSET(選手情報!$A$6:$M$119,BF128,0),13,FALSE)),"","/"&amp;VLOOKUP($N128,OFFSET(選手情報!$A$6:$M$119,BF128,0),13,FALSE)),"")</f>
        <v/>
      </c>
      <c r="BH128" s="127" t="str">
        <f ca="1">IF(BF128&lt;&gt;"",IF(ISNA(VLOOKUP($N128,OFFSET(選手情報!$A$6:$BD$119,BF128,0),56,FALSE)),"",VLOOKUP($N128,OFFSET(選手情報!$A$6:$BD$119,BF128,0),56,FALSE)),"")</f>
        <v/>
      </c>
      <c r="BI128" s="127" t="str">
        <f ca="1">IF(BH128&lt;&gt;"",IF(ISNA(VLOOKUP($N128,OFFSET(選手情報!$A$6:$M$119,BH128,0),13,FALSE)),"","/"&amp;VLOOKUP($N128,OFFSET(選手情報!$A$6:$M$119,BH128,0),13,FALSE)),"")</f>
        <v/>
      </c>
    </row>
    <row r="129" spans="1:61" s="127" customFormat="1" ht="12.6" customHeight="1">
      <c r="A129" s="128" t="str">
        <f>IF(ISNA(VLOOKUP($C$2&amp;N129,選手データ!A:H,3,FALSE)),"",IF(M129&lt;&gt;M128,VLOOKUP($C$2&amp;N129,選手データ!A:H,3,FALSE),""))</f>
        <v/>
      </c>
      <c r="B129" s="129" t="str">
        <f>IF(A129&lt;&gt;"",VLOOKUP($C$2&amp;N129,選手データ!A:H,4,FALSE),"")</f>
        <v/>
      </c>
      <c r="C129" s="129" t="str">
        <f>IF(A129&lt;&gt;"",VLOOKUP($C$2&amp;N129,選手データ!A:H,5,FALSE),"")</f>
        <v/>
      </c>
      <c r="D129" s="129" t="str">
        <f>IF(A129&lt;&gt;"",VLOOKUP($C$2&amp;N129,選手データ!A:H,6,FALSE),"")</f>
        <v/>
      </c>
      <c r="E129" s="129" t="str">
        <f>IF(A129&lt;&gt;"",VLOOKUP($C$2&amp;N129,選手データ!A:H,7,FALSE),"")</f>
        <v/>
      </c>
      <c r="F129" s="130" t="str">
        <f>IF(A129&lt;&gt;"",VLOOKUP($C$2&amp;N129,選手データ!A:H,8,FALSE),"")</f>
        <v/>
      </c>
      <c r="G129" s="130" t="str">
        <f>IF(F129&lt;&gt;"",IF(DATEDIF(F129,設定!$B$12,"Y")&lt;20,"〇",""),"")</f>
        <v/>
      </c>
      <c r="H129" s="131" t="str">
        <f t="shared" ca="1" si="13"/>
        <v/>
      </c>
      <c r="I129" s="132" t="str">
        <f t="shared" ca="1" si="14"/>
        <v/>
      </c>
      <c r="J129" s="131" t="str">
        <f t="shared" ca="1" si="15"/>
        <v/>
      </c>
      <c r="K129" s="130" t="str">
        <f>IF(A129&lt;&gt;"",IF(COUNTIF(リレーチーム情報!$B$17:$B$22,A129&amp;E129)=1,"〇",""),"")</f>
        <v/>
      </c>
      <c r="L129" s="133" t="str">
        <f>IF(A129&lt;&gt;"",IF(COUNTIF(リレーチーム情報!$B$23:$B$28,A129&amp;E129)=1,"〇",""),"")</f>
        <v/>
      </c>
      <c r="M129" s="127">
        <f>IF(学校情報!$A$4&lt;&gt;"",0,IF(S128=0,MAX($M$109:M128)+1,M128))</f>
        <v>0</v>
      </c>
      <c r="N129" s="127" t="str">
        <f>IF(M129&lt;&gt;0,VLOOKUP(M129,選手情報!BI:BJ,2,FALSE),"")</f>
        <v/>
      </c>
      <c r="O129" s="127" t="str">
        <f ca="1">IF(M129&lt;&gt;0,VLOOKUP(N129,OFFSET(選手情報!$A$6:$W$119,IF(M129&lt;&gt;M128,0,R128),0),13,FALSE),"")</f>
        <v/>
      </c>
      <c r="P129" s="127" t="str">
        <f ca="1">IF(M129&lt;&gt;0,VLOOKUP(N129,OFFSET(選手情報!$A$6:$W$119,IF(M129&lt;&gt;M128,0,R128),0),16,FALSE),"")</f>
        <v/>
      </c>
      <c r="Q129" s="127" t="str">
        <f ca="1">IF(M129&lt;&gt;0,VLOOKUP(N129,OFFSET(選手情報!$A$6:$W$119,IF(M129&lt;&gt;M128,0,R128),0),21,FALSE),"")</f>
        <v/>
      </c>
      <c r="R129" s="127">
        <f ca="1">IF(M129&lt;&gt;0,VLOOKUP(N129,OFFSET(選手情報!$A$6:$BD$119,IF(M129&lt;&gt;M128,0,R128),0),56,FALSE),0)</f>
        <v>0</v>
      </c>
      <c r="S129" s="127">
        <f ca="1">IF(M129&lt;&gt;0,IF(ISNA(R129),0,COUNTIF(OFFSET(選手情報!$A$6:$A$119,R129,0),N129)),0)</f>
        <v>0</v>
      </c>
      <c r="U129" s="127">
        <f t="shared" si="16"/>
        <v>0</v>
      </c>
      <c r="V129" s="127">
        <f t="shared" ca="1" si="17"/>
        <v>1</v>
      </c>
      <c r="W129" s="127">
        <f t="shared" ca="1" si="12"/>
        <v>0</v>
      </c>
      <c r="X129" s="127" t="str">
        <f t="shared" ca="1" si="18"/>
        <v/>
      </c>
      <c r="Y129" s="127" t="str">
        <f>IF($A129&lt;&gt;"",IF(ISNA(VLOOKUP($N129,選手情報!$A$6:$M$119,13,FALSE)),"","/"&amp;VLOOKUP($N129,選手情報!$A$6:$M$119,13,FALSE)),"")</f>
        <v/>
      </c>
      <c r="Z129" s="127" t="str">
        <f ca="1">IF(Y129&lt;&gt;"",IF(ISNA(VLOOKUP($N129,OFFSET(選手情報!$A$6:$BD$119,0,0),56,FALSE)),"",VLOOKUP($N129,OFFSET(選手情報!$A$6:$BD$119,0,0),56,FALSE)),"")</f>
        <v/>
      </c>
      <c r="AA129" s="127" t="str">
        <f ca="1">IF(Z129&lt;&gt;"",IF(ISNA(VLOOKUP($N129,OFFSET(選手情報!$A$6:$M$119,Z129,0),13,FALSE)),"","/"&amp;VLOOKUP($N129,OFFSET(選手情報!$A$6:$M$119,Z129,0),13,FALSE)),"")</f>
        <v/>
      </c>
      <c r="AB129" s="127" t="str">
        <f ca="1">IF(Z129&lt;&gt;"",IF(ISNA(VLOOKUP($N129,OFFSET(選手情報!$A$6:$BD$119,Z129,0),56,FALSE)),"",VLOOKUP($N129,OFFSET(選手情報!$A$6:$BD$119,Z129,0),56,FALSE)),"")</f>
        <v/>
      </c>
      <c r="AC129" s="127" t="str">
        <f ca="1">IF(AB129&lt;&gt;"",IF(ISNA(VLOOKUP($N129,OFFSET(選手情報!$A$6:$M$119,AB129,0),13,FALSE)),"","/"&amp;VLOOKUP($N129,OFFSET(選手情報!$A$6:$M$119,AB129,0),13,FALSE)),"")</f>
        <v/>
      </c>
      <c r="AD129" s="127" t="str">
        <f ca="1">IF(AB129&lt;&gt;"",IF(ISNA(VLOOKUP($N129,OFFSET(選手情報!$A$6:$BD$119,AB129,0),56,FALSE)),"",VLOOKUP($N129,OFFSET(選手情報!$A$6:$BD$119,AB129,0),56,FALSE)),"")</f>
        <v/>
      </c>
      <c r="AE129" s="127" t="str">
        <f ca="1">IF(AD129&lt;&gt;"",IF(ISNA(VLOOKUP($N129,OFFSET(選手情報!$A$6:$M$119,AD129,0),13,FALSE)),"","/"&amp;VLOOKUP($N129,OFFSET(選手情報!$A$6:$M$119,AD129,0),13,FALSE)),"")</f>
        <v/>
      </c>
      <c r="AF129" s="127" t="str">
        <f ca="1">IF(AD129&lt;&gt;"",IF(ISNA(VLOOKUP($N129,OFFSET(選手情報!$A$6:$BD$119,AD129,0),56,FALSE)),"",VLOOKUP($N129,OFFSET(選手情報!$A$6:$BD$119,AD129,0),56,FALSE)),"")</f>
        <v/>
      </c>
      <c r="AG129" s="127" t="str">
        <f ca="1">IF(AF129&lt;&gt;"",IF(ISNA(VLOOKUP($N129,OFFSET(選手情報!$A$6:$M$119,AF129,0),13,FALSE)),"","/"&amp;VLOOKUP($N129,OFFSET(選手情報!$A$6:$M$119,AF129,0),13,FALSE)),"")</f>
        <v/>
      </c>
      <c r="AH129" s="127" t="str">
        <f ca="1">IF(AF129&lt;&gt;"",IF(ISNA(VLOOKUP($N129,OFFSET(選手情報!$A$6:$BD$119,AF129,0),56,FALSE)),"",VLOOKUP($N129,OFFSET(選手情報!$A$6:$BD$119,AF129,0),56,FALSE)),"")</f>
        <v/>
      </c>
      <c r="AI129" s="127" t="str">
        <f ca="1">IF(AH129&lt;&gt;"",IF(ISNA(VLOOKUP($N129,OFFSET(選手情報!$A$6:$M$119,AH129,0),13,FALSE)),"","/"&amp;VLOOKUP($N129,OFFSET(選手情報!$A$6:$M$119,AH129,0),13,FALSE)),"")</f>
        <v/>
      </c>
      <c r="AJ129" s="127" t="str">
        <f ca="1">IF(AH129&lt;&gt;"",IF(ISNA(VLOOKUP($N129,OFFSET(選手情報!$A$6:$BD$119,AH129,0),56,FALSE)),"",VLOOKUP($N129,OFFSET(選手情報!$A$6:$BD$119,AH129,0),56,FALSE)),"")</f>
        <v/>
      </c>
      <c r="AK129" s="127" t="str">
        <f ca="1">IF(AJ129&lt;&gt;"",IF(ISNA(VLOOKUP($N129,OFFSET(選手情報!$A$6:$M$119,AJ129,0),13,FALSE)),"","/"&amp;VLOOKUP($N129,OFFSET(選手情報!$A$6:$M$119,AJ129,0),13,FALSE)),"")</f>
        <v/>
      </c>
      <c r="AL129" s="127" t="str">
        <f ca="1">IF(AJ129&lt;&gt;"",IF(ISNA(VLOOKUP($N129,OFFSET(選手情報!$A$6:$BD$119,AJ129,0),56,FALSE)),"",VLOOKUP($N129,OFFSET(選手情報!$A$6:$BD$119,AJ129,0),56,FALSE)),"")</f>
        <v/>
      </c>
      <c r="AM129" s="127" t="str">
        <f ca="1">IF(AL129&lt;&gt;"",IF(ISNA(VLOOKUP($N129,OFFSET(選手情報!$A$6:$M$119,AL129,0),13,FALSE)),"","/"&amp;VLOOKUP($N129,OFFSET(選手情報!$A$6:$M$119,AL129,0),13,FALSE)),"")</f>
        <v/>
      </c>
      <c r="AN129" s="127" t="str">
        <f ca="1">IF(AL129&lt;&gt;"",IF(ISNA(VLOOKUP($N129,OFFSET(選手情報!$A$6:$BD$119,AL129,0),56,FALSE)),"",VLOOKUP($N129,OFFSET(選手情報!$A$6:$BD$119,AL129,0),56,FALSE)),"")</f>
        <v/>
      </c>
      <c r="AO129" s="127" t="str">
        <f ca="1">IF(AN129&lt;&gt;"",IF(ISNA(VLOOKUP($N129,OFFSET(選手情報!$A$6:$M$119,AN129,0),13,FALSE)),"","/"&amp;VLOOKUP($N129,OFFSET(選手情報!$A$6:$M$119,AN129,0),13,FALSE)),"")</f>
        <v/>
      </c>
      <c r="AP129" s="127" t="str">
        <f ca="1">IF(AN129&lt;&gt;"",IF(ISNA(VLOOKUP($N129,OFFSET(選手情報!$A$6:$BD$119,AN129,0),56,FALSE)),"",VLOOKUP($N129,OFFSET(選手情報!$A$6:$BD$119,AN129,0),56,FALSE)),"")</f>
        <v/>
      </c>
      <c r="AQ129" s="127" t="str">
        <f ca="1">IF(AP129&lt;&gt;"",IF(ISNA(VLOOKUP($N129,OFFSET(選手情報!$A$6:$M$119,AP129,0),13,FALSE)),"","/"&amp;VLOOKUP($N129,OFFSET(選手情報!$A$6:$M$119,AP129,0),13,FALSE)),"")</f>
        <v/>
      </c>
      <c r="AR129" s="127" t="str">
        <f ca="1">IF(AP129&lt;&gt;"",IF(ISNA(VLOOKUP($N129,OFFSET(選手情報!$A$6:$BD$119,AP129,0),56,FALSE)),"",VLOOKUP($N129,OFFSET(選手情報!$A$6:$BD$119,AP129,0),56,FALSE)),"")</f>
        <v/>
      </c>
      <c r="AS129" s="127" t="str">
        <f ca="1">IF(AR129&lt;&gt;"",IF(ISNA(VLOOKUP($N129,OFFSET(選手情報!$A$6:$M$119,AR129,0),13,FALSE)),"","/"&amp;VLOOKUP($N129,OFFSET(選手情報!$A$6:$M$119,AR129,0),13,FALSE)),"")</f>
        <v/>
      </c>
      <c r="AT129" s="127" t="str">
        <f ca="1">IF(AR129&lt;&gt;"",IF(ISNA(VLOOKUP($N129,OFFSET(選手情報!$A$6:$BD$119,AR129,0),56,FALSE)),"",VLOOKUP($N129,OFFSET(選手情報!$A$6:$BD$119,AR129,0),56,FALSE)),"")</f>
        <v/>
      </c>
      <c r="AU129" s="127" t="str">
        <f ca="1">IF(AT129&lt;&gt;"",IF(ISNA(VLOOKUP($N129,OFFSET(選手情報!$A$6:$M$119,AT129,0),13,FALSE)),"","/"&amp;VLOOKUP($N129,OFFSET(選手情報!$A$6:$M$119,AT129,0),13,FALSE)),"")</f>
        <v/>
      </c>
      <c r="AV129" s="127" t="str">
        <f ca="1">IF(AT129&lt;&gt;"",IF(ISNA(VLOOKUP($N129,OFFSET(選手情報!$A$6:$BD$119,AT129,0),56,FALSE)),"",VLOOKUP($N129,OFFSET(選手情報!$A$6:$BD$119,AT129,0),56,FALSE)),"")</f>
        <v/>
      </c>
      <c r="AW129" s="127" t="str">
        <f ca="1">IF(AV129&lt;&gt;"",IF(ISNA(VLOOKUP($N129,OFFSET(選手情報!$A$6:$M$119,AV129,0),13,FALSE)),"","/"&amp;VLOOKUP($N129,OFFSET(選手情報!$A$6:$M$119,AV129,0),13,FALSE)),"")</f>
        <v/>
      </c>
      <c r="AX129" s="127" t="str">
        <f ca="1">IF(AV129&lt;&gt;"",IF(ISNA(VLOOKUP($N129,OFFSET(選手情報!$A$6:$BD$119,AV129,0),56,FALSE)),"",VLOOKUP($N129,OFFSET(選手情報!$A$6:$BD$119,AV129,0),56,FALSE)),"")</f>
        <v/>
      </c>
      <c r="AY129" s="127" t="str">
        <f ca="1">IF(AX129&lt;&gt;"",IF(ISNA(VLOOKUP($N129,OFFSET(選手情報!$A$6:$M$119,AX129,0),13,FALSE)),"","/"&amp;VLOOKUP($N129,OFFSET(選手情報!$A$6:$M$119,AX129,0),13,FALSE)),"")</f>
        <v/>
      </c>
      <c r="AZ129" s="127" t="str">
        <f ca="1">IF(AX129&lt;&gt;"",IF(ISNA(VLOOKUP($N129,OFFSET(選手情報!$A$6:$BD$119,AX129,0),56,FALSE)),"",VLOOKUP($N129,OFFSET(選手情報!$A$6:$BD$119,AX129,0),56,FALSE)),"")</f>
        <v/>
      </c>
      <c r="BA129" s="127" t="str">
        <f ca="1">IF(AZ129&lt;&gt;"",IF(ISNA(VLOOKUP($N129,OFFSET(選手情報!$A$6:$M$119,AZ129,0),13,FALSE)),"","/"&amp;VLOOKUP($N129,OFFSET(選手情報!$A$6:$M$119,AZ129,0),13,FALSE)),"")</f>
        <v/>
      </c>
      <c r="BB129" s="127" t="str">
        <f ca="1">IF(AZ129&lt;&gt;"",IF(ISNA(VLOOKUP($N129,OFFSET(選手情報!$A$6:$BD$119,AZ129,0),56,FALSE)),"",VLOOKUP($N129,OFFSET(選手情報!$A$6:$BD$119,AZ129,0),56,FALSE)),"")</f>
        <v/>
      </c>
      <c r="BC129" s="127" t="str">
        <f ca="1">IF(BB129&lt;&gt;"",IF(ISNA(VLOOKUP($N129,OFFSET(選手情報!$A$6:$M$119,BB129,0),13,FALSE)),"","/"&amp;VLOOKUP($N129,OFFSET(選手情報!$A$6:$M$119,BB129,0),13,FALSE)),"")</f>
        <v/>
      </c>
      <c r="BD129" s="127" t="str">
        <f ca="1">IF(BB129&lt;&gt;"",IF(ISNA(VLOOKUP($N129,OFFSET(選手情報!$A$6:$BD$119,BB129,0),56,FALSE)),"",VLOOKUP($N129,OFFSET(選手情報!$A$6:$BD$119,BB129,0),56,FALSE)),"")</f>
        <v/>
      </c>
      <c r="BE129" s="127" t="str">
        <f ca="1">IF(BD129&lt;&gt;"",IF(ISNA(VLOOKUP($N129,OFFSET(選手情報!$A$6:$M$119,BD129,0),13,FALSE)),"","/"&amp;VLOOKUP($N129,OFFSET(選手情報!$A$6:$M$119,BD129,0),13,FALSE)),"")</f>
        <v/>
      </c>
      <c r="BF129" s="127" t="str">
        <f ca="1">IF(BD129&lt;&gt;"",IF(ISNA(VLOOKUP($N129,OFFSET(選手情報!$A$6:$BD$119,BD129,0),56,FALSE)),"",VLOOKUP($N129,OFFSET(選手情報!$A$6:$BD$119,BD129,0),56,FALSE)),"")</f>
        <v/>
      </c>
      <c r="BG129" s="127" t="str">
        <f ca="1">IF(BF129&lt;&gt;"",IF(ISNA(VLOOKUP($N129,OFFSET(選手情報!$A$6:$M$119,BF129,0),13,FALSE)),"","/"&amp;VLOOKUP($N129,OFFSET(選手情報!$A$6:$M$119,BF129,0),13,FALSE)),"")</f>
        <v/>
      </c>
      <c r="BH129" s="127" t="str">
        <f ca="1">IF(BF129&lt;&gt;"",IF(ISNA(VLOOKUP($N129,OFFSET(選手情報!$A$6:$BD$119,BF129,0),56,FALSE)),"",VLOOKUP($N129,OFFSET(選手情報!$A$6:$BD$119,BF129,0),56,FALSE)),"")</f>
        <v/>
      </c>
      <c r="BI129" s="127" t="str">
        <f ca="1">IF(BH129&lt;&gt;"",IF(ISNA(VLOOKUP($N129,OFFSET(選手情報!$A$6:$M$119,BH129,0),13,FALSE)),"","/"&amp;VLOOKUP($N129,OFFSET(選手情報!$A$6:$M$119,BH129,0),13,FALSE)),"")</f>
        <v/>
      </c>
    </row>
    <row r="130" spans="1:61" s="127" customFormat="1" ht="12.6" customHeight="1">
      <c r="A130" s="128" t="str">
        <f>IF(ISNA(VLOOKUP($C$2&amp;N130,選手データ!A:H,3,FALSE)),"",IF(M130&lt;&gt;M129,VLOOKUP($C$2&amp;N130,選手データ!A:H,3,FALSE),""))</f>
        <v/>
      </c>
      <c r="B130" s="129" t="str">
        <f>IF(A130&lt;&gt;"",VLOOKUP($C$2&amp;N130,選手データ!A:H,4,FALSE),"")</f>
        <v/>
      </c>
      <c r="C130" s="129" t="str">
        <f>IF(A130&lt;&gt;"",VLOOKUP($C$2&amp;N130,選手データ!A:H,5,FALSE),"")</f>
        <v/>
      </c>
      <c r="D130" s="129" t="str">
        <f>IF(A130&lt;&gt;"",VLOOKUP($C$2&amp;N130,選手データ!A:H,6,FALSE),"")</f>
        <v/>
      </c>
      <c r="E130" s="129" t="str">
        <f>IF(A130&lt;&gt;"",VLOOKUP($C$2&amp;N130,選手データ!A:H,7,FALSE),"")</f>
        <v/>
      </c>
      <c r="F130" s="130" t="str">
        <f>IF(A130&lt;&gt;"",VLOOKUP($C$2&amp;N130,選手データ!A:H,8,FALSE),"")</f>
        <v/>
      </c>
      <c r="G130" s="130" t="str">
        <f>IF(F130&lt;&gt;"",IF(DATEDIF(F130,設定!$B$12,"Y")&lt;20,"〇",""),"")</f>
        <v/>
      </c>
      <c r="H130" s="131" t="str">
        <f t="shared" ca="1" si="13"/>
        <v/>
      </c>
      <c r="I130" s="132" t="str">
        <f t="shared" ca="1" si="14"/>
        <v/>
      </c>
      <c r="J130" s="131" t="str">
        <f t="shared" ca="1" si="15"/>
        <v/>
      </c>
      <c r="K130" s="130" t="str">
        <f>IF(A130&lt;&gt;"",IF(COUNTIF(リレーチーム情報!$B$17:$B$22,A130&amp;E130)=1,"〇",""),"")</f>
        <v/>
      </c>
      <c r="L130" s="133" t="str">
        <f>IF(A130&lt;&gt;"",IF(COUNTIF(リレーチーム情報!$B$23:$B$28,A130&amp;E130)=1,"〇",""),"")</f>
        <v/>
      </c>
      <c r="M130" s="127">
        <f>IF(学校情報!$A$4&lt;&gt;"",0,IF(S129=0,MAX($M$109:M129)+1,M129))</f>
        <v>0</v>
      </c>
      <c r="N130" s="127" t="str">
        <f>IF(M130&lt;&gt;0,VLOOKUP(M130,選手情報!BI:BJ,2,FALSE),"")</f>
        <v/>
      </c>
      <c r="O130" s="127" t="str">
        <f ca="1">IF(M130&lt;&gt;0,VLOOKUP(N130,OFFSET(選手情報!$A$6:$W$119,IF(M130&lt;&gt;M129,0,R129),0),13,FALSE),"")</f>
        <v/>
      </c>
      <c r="P130" s="127" t="str">
        <f ca="1">IF(M130&lt;&gt;0,VLOOKUP(N130,OFFSET(選手情報!$A$6:$W$119,IF(M130&lt;&gt;M129,0,R129),0),16,FALSE),"")</f>
        <v/>
      </c>
      <c r="Q130" s="127" t="str">
        <f ca="1">IF(M130&lt;&gt;0,VLOOKUP(N130,OFFSET(選手情報!$A$6:$W$119,IF(M130&lt;&gt;M129,0,R129),0),21,FALSE),"")</f>
        <v/>
      </c>
      <c r="R130" s="127">
        <f ca="1">IF(M130&lt;&gt;0,VLOOKUP(N130,OFFSET(選手情報!$A$6:$BD$119,IF(M130&lt;&gt;M129,0,R129),0),56,FALSE),0)</f>
        <v>0</v>
      </c>
      <c r="S130" s="127">
        <f ca="1">IF(M130&lt;&gt;0,IF(ISNA(R130),0,COUNTIF(OFFSET(選手情報!$A$6:$A$119,R130,0),N130)),0)</f>
        <v>0</v>
      </c>
      <c r="U130" s="127">
        <f t="shared" si="16"/>
        <v>0</v>
      </c>
      <c r="V130" s="127">
        <f t="shared" ca="1" si="17"/>
        <v>1</v>
      </c>
      <c r="W130" s="127">
        <f t="shared" ca="1" si="12"/>
        <v>0</v>
      </c>
      <c r="X130" s="127" t="str">
        <f t="shared" ca="1" si="18"/>
        <v/>
      </c>
      <c r="Y130" s="127" t="str">
        <f>IF($A130&lt;&gt;"",IF(ISNA(VLOOKUP($N130,選手情報!$A$6:$M$119,13,FALSE)),"","/"&amp;VLOOKUP($N130,選手情報!$A$6:$M$119,13,FALSE)),"")</f>
        <v/>
      </c>
      <c r="Z130" s="127" t="str">
        <f ca="1">IF(Y130&lt;&gt;"",IF(ISNA(VLOOKUP($N130,OFFSET(選手情報!$A$6:$BD$119,0,0),56,FALSE)),"",VLOOKUP($N130,OFFSET(選手情報!$A$6:$BD$119,0,0),56,FALSE)),"")</f>
        <v/>
      </c>
      <c r="AA130" s="127" t="str">
        <f ca="1">IF(Z130&lt;&gt;"",IF(ISNA(VLOOKUP($N130,OFFSET(選手情報!$A$6:$M$119,Z130,0),13,FALSE)),"","/"&amp;VLOOKUP($N130,OFFSET(選手情報!$A$6:$M$119,Z130,0),13,FALSE)),"")</f>
        <v/>
      </c>
      <c r="AB130" s="127" t="str">
        <f ca="1">IF(Z130&lt;&gt;"",IF(ISNA(VLOOKUP($N130,OFFSET(選手情報!$A$6:$BD$119,Z130,0),56,FALSE)),"",VLOOKUP($N130,OFFSET(選手情報!$A$6:$BD$119,Z130,0),56,FALSE)),"")</f>
        <v/>
      </c>
      <c r="AC130" s="127" t="str">
        <f ca="1">IF(AB130&lt;&gt;"",IF(ISNA(VLOOKUP($N130,OFFSET(選手情報!$A$6:$M$119,AB130,0),13,FALSE)),"","/"&amp;VLOOKUP($N130,OFFSET(選手情報!$A$6:$M$119,AB130,0),13,FALSE)),"")</f>
        <v/>
      </c>
      <c r="AD130" s="127" t="str">
        <f ca="1">IF(AB130&lt;&gt;"",IF(ISNA(VLOOKUP($N130,OFFSET(選手情報!$A$6:$BD$119,AB130,0),56,FALSE)),"",VLOOKUP($N130,OFFSET(選手情報!$A$6:$BD$119,AB130,0),56,FALSE)),"")</f>
        <v/>
      </c>
      <c r="AE130" s="127" t="str">
        <f ca="1">IF(AD130&lt;&gt;"",IF(ISNA(VLOOKUP($N130,OFFSET(選手情報!$A$6:$M$119,AD130,0),13,FALSE)),"","/"&amp;VLOOKUP($N130,OFFSET(選手情報!$A$6:$M$119,AD130,0),13,FALSE)),"")</f>
        <v/>
      </c>
      <c r="AF130" s="127" t="str">
        <f ca="1">IF(AD130&lt;&gt;"",IF(ISNA(VLOOKUP($N130,OFFSET(選手情報!$A$6:$BD$119,AD130,0),56,FALSE)),"",VLOOKUP($N130,OFFSET(選手情報!$A$6:$BD$119,AD130,0),56,FALSE)),"")</f>
        <v/>
      </c>
      <c r="AG130" s="127" t="str">
        <f ca="1">IF(AF130&lt;&gt;"",IF(ISNA(VLOOKUP($N130,OFFSET(選手情報!$A$6:$M$119,AF130,0),13,FALSE)),"","/"&amp;VLOOKUP($N130,OFFSET(選手情報!$A$6:$M$119,AF130,0),13,FALSE)),"")</f>
        <v/>
      </c>
      <c r="AH130" s="127" t="str">
        <f ca="1">IF(AF130&lt;&gt;"",IF(ISNA(VLOOKUP($N130,OFFSET(選手情報!$A$6:$BD$119,AF130,0),56,FALSE)),"",VLOOKUP($N130,OFFSET(選手情報!$A$6:$BD$119,AF130,0),56,FALSE)),"")</f>
        <v/>
      </c>
      <c r="AI130" s="127" t="str">
        <f ca="1">IF(AH130&lt;&gt;"",IF(ISNA(VLOOKUP($N130,OFFSET(選手情報!$A$6:$M$119,AH130,0),13,FALSE)),"","/"&amp;VLOOKUP($N130,OFFSET(選手情報!$A$6:$M$119,AH130,0),13,FALSE)),"")</f>
        <v/>
      </c>
      <c r="AJ130" s="127" t="str">
        <f ca="1">IF(AH130&lt;&gt;"",IF(ISNA(VLOOKUP($N130,OFFSET(選手情報!$A$6:$BD$119,AH130,0),56,FALSE)),"",VLOOKUP($N130,OFFSET(選手情報!$A$6:$BD$119,AH130,0),56,FALSE)),"")</f>
        <v/>
      </c>
      <c r="AK130" s="127" t="str">
        <f ca="1">IF(AJ130&lt;&gt;"",IF(ISNA(VLOOKUP($N130,OFFSET(選手情報!$A$6:$M$119,AJ130,0),13,FALSE)),"","/"&amp;VLOOKUP($N130,OFFSET(選手情報!$A$6:$M$119,AJ130,0),13,FALSE)),"")</f>
        <v/>
      </c>
      <c r="AL130" s="127" t="str">
        <f ca="1">IF(AJ130&lt;&gt;"",IF(ISNA(VLOOKUP($N130,OFFSET(選手情報!$A$6:$BD$119,AJ130,0),56,FALSE)),"",VLOOKUP($N130,OFFSET(選手情報!$A$6:$BD$119,AJ130,0),56,FALSE)),"")</f>
        <v/>
      </c>
      <c r="AM130" s="127" t="str">
        <f ca="1">IF(AL130&lt;&gt;"",IF(ISNA(VLOOKUP($N130,OFFSET(選手情報!$A$6:$M$119,AL130,0),13,FALSE)),"","/"&amp;VLOOKUP($N130,OFFSET(選手情報!$A$6:$M$119,AL130,0),13,FALSE)),"")</f>
        <v/>
      </c>
      <c r="AN130" s="127" t="str">
        <f ca="1">IF(AL130&lt;&gt;"",IF(ISNA(VLOOKUP($N130,OFFSET(選手情報!$A$6:$BD$119,AL130,0),56,FALSE)),"",VLOOKUP($N130,OFFSET(選手情報!$A$6:$BD$119,AL130,0),56,FALSE)),"")</f>
        <v/>
      </c>
      <c r="AO130" s="127" t="str">
        <f ca="1">IF(AN130&lt;&gt;"",IF(ISNA(VLOOKUP($N130,OFFSET(選手情報!$A$6:$M$119,AN130,0),13,FALSE)),"","/"&amp;VLOOKUP($N130,OFFSET(選手情報!$A$6:$M$119,AN130,0),13,FALSE)),"")</f>
        <v/>
      </c>
      <c r="AP130" s="127" t="str">
        <f ca="1">IF(AN130&lt;&gt;"",IF(ISNA(VLOOKUP($N130,OFFSET(選手情報!$A$6:$BD$119,AN130,0),56,FALSE)),"",VLOOKUP($N130,OFFSET(選手情報!$A$6:$BD$119,AN130,0),56,FALSE)),"")</f>
        <v/>
      </c>
      <c r="AQ130" s="127" t="str">
        <f ca="1">IF(AP130&lt;&gt;"",IF(ISNA(VLOOKUP($N130,OFFSET(選手情報!$A$6:$M$119,AP130,0),13,FALSE)),"","/"&amp;VLOOKUP($N130,OFFSET(選手情報!$A$6:$M$119,AP130,0),13,FALSE)),"")</f>
        <v/>
      </c>
      <c r="AR130" s="127" t="str">
        <f ca="1">IF(AP130&lt;&gt;"",IF(ISNA(VLOOKUP($N130,OFFSET(選手情報!$A$6:$BD$119,AP130,0),56,FALSE)),"",VLOOKUP($N130,OFFSET(選手情報!$A$6:$BD$119,AP130,0),56,FALSE)),"")</f>
        <v/>
      </c>
      <c r="AS130" s="127" t="str">
        <f ca="1">IF(AR130&lt;&gt;"",IF(ISNA(VLOOKUP($N130,OFFSET(選手情報!$A$6:$M$119,AR130,0),13,FALSE)),"","/"&amp;VLOOKUP($N130,OFFSET(選手情報!$A$6:$M$119,AR130,0),13,FALSE)),"")</f>
        <v/>
      </c>
      <c r="AT130" s="127" t="str">
        <f ca="1">IF(AR130&lt;&gt;"",IF(ISNA(VLOOKUP($N130,OFFSET(選手情報!$A$6:$BD$119,AR130,0),56,FALSE)),"",VLOOKUP($N130,OFFSET(選手情報!$A$6:$BD$119,AR130,0),56,FALSE)),"")</f>
        <v/>
      </c>
      <c r="AU130" s="127" t="str">
        <f ca="1">IF(AT130&lt;&gt;"",IF(ISNA(VLOOKUP($N130,OFFSET(選手情報!$A$6:$M$119,AT130,0),13,FALSE)),"","/"&amp;VLOOKUP($N130,OFFSET(選手情報!$A$6:$M$119,AT130,0),13,FALSE)),"")</f>
        <v/>
      </c>
      <c r="AV130" s="127" t="str">
        <f ca="1">IF(AT130&lt;&gt;"",IF(ISNA(VLOOKUP($N130,OFFSET(選手情報!$A$6:$BD$119,AT130,0),56,FALSE)),"",VLOOKUP($N130,OFFSET(選手情報!$A$6:$BD$119,AT130,0),56,FALSE)),"")</f>
        <v/>
      </c>
      <c r="AW130" s="127" t="str">
        <f ca="1">IF(AV130&lt;&gt;"",IF(ISNA(VLOOKUP($N130,OFFSET(選手情報!$A$6:$M$119,AV130,0),13,FALSE)),"","/"&amp;VLOOKUP($N130,OFFSET(選手情報!$A$6:$M$119,AV130,0),13,FALSE)),"")</f>
        <v/>
      </c>
      <c r="AX130" s="127" t="str">
        <f ca="1">IF(AV130&lt;&gt;"",IF(ISNA(VLOOKUP($N130,OFFSET(選手情報!$A$6:$BD$119,AV130,0),56,FALSE)),"",VLOOKUP($N130,OFFSET(選手情報!$A$6:$BD$119,AV130,0),56,FALSE)),"")</f>
        <v/>
      </c>
      <c r="AY130" s="127" t="str">
        <f ca="1">IF(AX130&lt;&gt;"",IF(ISNA(VLOOKUP($N130,OFFSET(選手情報!$A$6:$M$119,AX130,0),13,FALSE)),"","/"&amp;VLOOKUP($N130,OFFSET(選手情報!$A$6:$M$119,AX130,0),13,FALSE)),"")</f>
        <v/>
      </c>
      <c r="AZ130" s="127" t="str">
        <f ca="1">IF(AX130&lt;&gt;"",IF(ISNA(VLOOKUP($N130,OFFSET(選手情報!$A$6:$BD$119,AX130,0),56,FALSE)),"",VLOOKUP($N130,OFFSET(選手情報!$A$6:$BD$119,AX130,0),56,FALSE)),"")</f>
        <v/>
      </c>
      <c r="BA130" s="127" t="str">
        <f ca="1">IF(AZ130&lt;&gt;"",IF(ISNA(VLOOKUP($N130,OFFSET(選手情報!$A$6:$M$119,AZ130,0),13,FALSE)),"","/"&amp;VLOOKUP($N130,OFFSET(選手情報!$A$6:$M$119,AZ130,0),13,FALSE)),"")</f>
        <v/>
      </c>
      <c r="BB130" s="127" t="str">
        <f ca="1">IF(AZ130&lt;&gt;"",IF(ISNA(VLOOKUP($N130,OFFSET(選手情報!$A$6:$BD$119,AZ130,0),56,FALSE)),"",VLOOKUP($N130,OFFSET(選手情報!$A$6:$BD$119,AZ130,0),56,FALSE)),"")</f>
        <v/>
      </c>
      <c r="BC130" s="127" t="str">
        <f ca="1">IF(BB130&lt;&gt;"",IF(ISNA(VLOOKUP($N130,OFFSET(選手情報!$A$6:$M$119,BB130,0),13,FALSE)),"","/"&amp;VLOOKUP($N130,OFFSET(選手情報!$A$6:$M$119,BB130,0),13,FALSE)),"")</f>
        <v/>
      </c>
      <c r="BD130" s="127" t="str">
        <f ca="1">IF(BB130&lt;&gt;"",IF(ISNA(VLOOKUP($N130,OFFSET(選手情報!$A$6:$BD$119,BB130,0),56,FALSE)),"",VLOOKUP($N130,OFFSET(選手情報!$A$6:$BD$119,BB130,0),56,FALSE)),"")</f>
        <v/>
      </c>
      <c r="BE130" s="127" t="str">
        <f ca="1">IF(BD130&lt;&gt;"",IF(ISNA(VLOOKUP($N130,OFFSET(選手情報!$A$6:$M$119,BD130,0),13,FALSE)),"","/"&amp;VLOOKUP($N130,OFFSET(選手情報!$A$6:$M$119,BD130,0),13,FALSE)),"")</f>
        <v/>
      </c>
      <c r="BF130" s="127" t="str">
        <f ca="1">IF(BD130&lt;&gt;"",IF(ISNA(VLOOKUP($N130,OFFSET(選手情報!$A$6:$BD$119,BD130,0),56,FALSE)),"",VLOOKUP($N130,OFFSET(選手情報!$A$6:$BD$119,BD130,0),56,FALSE)),"")</f>
        <v/>
      </c>
      <c r="BG130" s="127" t="str">
        <f ca="1">IF(BF130&lt;&gt;"",IF(ISNA(VLOOKUP($N130,OFFSET(選手情報!$A$6:$M$119,BF130,0),13,FALSE)),"","/"&amp;VLOOKUP($N130,OFFSET(選手情報!$A$6:$M$119,BF130,0),13,FALSE)),"")</f>
        <v/>
      </c>
      <c r="BH130" s="127" t="str">
        <f ca="1">IF(BF130&lt;&gt;"",IF(ISNA(VLOOKUP($N130,OFFSET(選手情報!$A$6:$BD$119,BF130,0),56,FALSE)),"",VLOOKUP($N130,OFFSET(選手情報!$A$6:$BD$119,BF130,0),56,FALSE)),"")</f>
        <v/>
      </c>
      <c r="BI130" s="127" t="str">
        <f ca="1">IF(BH130&lt;&gt;"",IF(ISNA(VLOOKUP($N130,OFFSET(選手情報!$A$6:$M$119,BH130,0),13,FALSE)),"","/"&amp;VLOOKUP($N130,OFFSET(選手情報!$A$6:$M$119,BH130,0),13,FALSE)),"")</f>
        <v/>
      </c>
    </row>
    <row r="131" spans="1:61" s="127" customFormat="1" ht="12.6" customHeight="1">
      <c r="A131" s="128" t="str">
        <f>IF(ISNA(VLOOKUP($C$2&amp;N131,選手データ!A:H,3,FALSE)),"",IF(M131&lt;&gt;M130,VLOOKUP($C$2&amp;N131,選手データ!A:H,3,FALSE),""))</f>
        <v/>
      </c>
      <c r="B131" s="129" t="str">
        <f>IF(A131&lt;&gt;"",VLOOKUP($C$2&amp;N131,選手データ!A:H,4,FALSE),"")</f>
        <v/>
      </c>
      <c r="C131" s="129" t="str">
        <f>IF(A131&lt;&gt;"",VLOOKUP($C$2&amp;N131,選手データ!A:H,5,FALSE),"")</f>
        <v/>
      </c>
      <c r="D131" s="129" t="str">
        <f>IF(A131&lt;&gt;"",VLOOKUP($C$2&amp;N131,選手データ!A:H,6,FALSE),"")</f>
        <v/>
      </c>
      <c r="E131" s="129" t="str">
        <f>IF(A131&lt;&gt;"",VLOOKUP($C$2&amp;N131,選手データ!A:H,7,FALSE),"")</f>
        <v/>
      </c>
      <c r="F131" s="130" t="str">
        <f>IF(A131&lt;&gt;"",VLOOKUP($C$2&amp;N131,選手データ!A:H,8,FALSE),"")</f>
        <v/>
      </c>
      <c r="G131" s="130" t="str">
        <f>IF(F131&lt;&gt;"",IF(DATEDIF(F131,設定!$B$12,"Y")&lt;20,"〇",""),"")</f>
        <v/>
      </c>
      <c r="H131" s="131" t="str">
        <f t="shared" ca="1" si="13"/>
        <v/>
      </c>
      <c r="I131" s="132" t="str">
        <f t="shared" ca="1" si="14"/>
        <v/>
      </c>
      <c r="J131" s="131" t="str">
        <f t="shared" ca="1" si="15"/>
        <v/>
      </c>
      <c r="K131" s="130" t="str">
        <f>IF(A131&lt;&gt;"",IF(COUNTIF(リレーチーム情報!$B$17:$B$22,A131&amp;E131)=1,"〇",""),"")</f>
        <v/>
      </c>
      <c r="L131" s="133" t="str">
        <f>IF(A131&lt;&gt;"",IF(COUNTIF(リレーチーム情報!$B$23:$B$28,A131&amp;E131)=1,"〇",""),"")</f>
        <v/>
      </c>
      <c r="M131" s="127">
        <f>IF(学校情報!$A$4&lt;&gt;"",0,IF(S130=0,MAX($M$109:M130)+1,M130))</f>
        <v>0</v>
      </c>
      <c r="N131" s="127" t="str">
        <f>IF(M131&lt;&gt;0,VLOOKUP(M131,選手情報!BI:BJ,2,FALSE),"")</f>
        <v/>
      </c>
      <c r="O131" s="127" t="str">
        <f ca="1">IF(M131&lt;&gt;0,VLOOKUP(N131,OFFSET(選手情報!$A$6:$W$119,IF(M131&lt;&gt;M130,0,R130),0),13,FALSE),"")</f>
        <v/>
      </c>
      <c r="P131" s="127" t="str">
        <f ca="1">IF(M131&lt;&gt;0,VLOOKUP(N131,OFFSET(選手情報!$A$6:$W$119,IF(M131&lt;&gt;M130,0,R130),0),16,FALSE),"")</f>
        <v/>
      </c>
      <c r="Q131" s="127" t="str">
        <f ca="1">IF(M131&lt;&gt;0,VLOOKUP(N131,OFFSET(選手情報!$A$6:$W$119,IF(M131&lt;&gt;M130,0,R130),0),21,FALSE),"")</f>
        <v/>
      </c>
      <c r="R131" s="127">
        <f ca="1">IF(M131&lt;&gt;0,VLOOKUP(N131,OFFSET(選手情報!$A$6:$BD$119,IF(M131&lt;&gt;M130,0,R130),0),56,FALSE),0)</f>
        <v>0</v>
      </c>
      <c r="S131" s="127">
        <f ca="1">IF(M131&lt;&gt;0,IF(ISNA(R131),0,COUNTIF(OFFSET(選手情報!$A$6:$A$119,R131,0),N131)),0)</f>
        <v>0</v>
      </c>
      <c r="U131" s="127">
        <f t="shared" si="16"/>
        <v>0</v>
      </c>
      <c r="V131" s="127">
        <f t="shared" ca="1" si="17"/>
        <v>1</v>
      </c>
      <c r="W131" s="127">
        <f t="shared" ca="1" si="12"/>
        <v>0</v>
      </c>
      <c r="X131" s="127" t="str">
        <f t="shared" ca="1" si="18"/>
        <v/>
      </c>
      <c r="Y131" s="127" t="str">
        <f>IF($A131&lt;&gt;"",IF(ISNA(VLOOKUP($N131,選手情報!$A$6:$M$119,13,FALSE)),"","/"&amp;VLOOKUP($N131,選手情報!$A$6:$M$119,13,FALSE)),"")</f>
        <v/>
      </c>
      <c r="Z131" s="127" t="str">
        <f ca="1">IF(Y131&lt;&gt;"",IF(ISNA(VLOOKUP($N131,OFFSET(選手情報!$A$6:$BD$119,0,0),56,FALSE)),"",VLOOKUP($N131,OFFSET(選手情報!$A$6:$BD$119,0,0),56,FALSE)),"")</f>
        <v/>
      </c>
      <c r="AA131" s="127" t="str">
        <f ca="1">IF(Z131&lt;&gt;"",IF(ISNA(VLOOKUP($N131,OFFSET(選手情報!$A$6:$M$119,Z131,0),13,FALSE)),"","/"&amp;VLOOKUP($N131,OFFSET(選手情報!$A$6:$M$119,Z131,0),13,FALSE)),"")</f>
        <v/>
      </c>
      <c r="AB131" s="127" t="str">
        <f ca="1">IF(Z131&lt;&gt;"",IF(ISNA(VLOOKUP($N131,OFFSET(選手情報!$A$6:$BD$119,Z131,0),56,FALSE)),"",VLOOKUP($N131,OFFSET(選手情報!$A$6:$BD$119,Z131,0),56,FALSE)),"")</f>
        <v/>
      </c>
      <c r="AC131" s="127" t="str">
        <f ca="1">IF(AB131&lt;&gt;"",IF(ISNA(VLOOKUP($N131,OFFSET(選手情報!$A$6:$M$119,AB131,0),13,FALSE)),"","/"&amp;VLOOKUP($N131,OFFSET(選手情報!$A$6:$M$119,AB131,0),13,FALSE)),"")</f>
        <v/>
      </c>
      <c r="AD131" s="127" t="str">
        <f ca="1">IF(AB131&lt;&gt;"",IF(ISNA(VLOOKUP($N131,OFFSET(選手情報!$A$6:$BD$119,AB131,0),56,FALSE)),"",VLOOKUP($N131,OFFSET(選手情報!$A$6:$BD$119,AB131,0),56,FALSE)),"")</f>
        <v/>
      </c>
      <c r="AE131" s="127" t="str">
        <f ca="1">IF(AD131&lt;&gt;"",IF(ISNA(VLOOKUP($N131,OFFSET(選手情報!$A$6:$M$119,AD131,0),13,FALSE)),"","/"&amp;VLOOKUP($N131,OFFSET(選手情報!$A$6:$M$119,AD131,0),13,FALSE)),"")</f>
        <v/>
      </c>
      <c r="AF131" s="127" t="str">
        <f ca="1">IF(AD131&lt;&gt;"",IF(ISNA(VLOOKUP($N131,OFFSET(選手情報!$A$6:$BD$119,AD131,0),56,FALSE)),"",VLOOKUP($N131,OFFSET(選手情報!$A$6:$BD$119,AD131,0),56,FALSE)),"")</f>
        <v/>
      </c>
      <c r="AG131" s="127" t="str">
        <f ca="1">IF(AF131&lt;&gt;"",IF(ISNA(VLOOKUP($N131,OFFSET(選手情報!$A$6:$M$119,AF131,0),13,FALSE)),"","/"&amp;VLOOKUP($N131,OFFSET(選手情報!$A$6:$M$119,AF131,0),13,FALSE)),"")</f>
        <v/>
      </c>
      <c r="AH131" s="127" t="str">
        <f ca="1">IF(AF131&lt;&gt;"",IF(ISNA(VLOOKUP($N131,OFFSET(選手情報!$A$6:$BD$119,AF131,0),56,FALSE)),"",VLOOKUP($N131,OFFSET(選手情報!$A$6:$BD$119,AF131,0),56,FALSE)),"")</f>
        <v/>
      </c>
      <c r="AI131" s="127" t="str">
        <f ca="1">IF(AH131&lt;&gt;"",IF(ISNA(VLOOKUP($N131,OFFSET(選手情報!$A$6:$M$119,AH131,0),13,FALSE)),"","/"&amp;VLOOKUP($N131,OFFSET(選手情報!$A$6:$M$119,AH131,0),13,FALSE)),"")</f>
        <v/>
      </c>
      <c r="AJ131" s="127" t="str">
        <f ca="1">IF(AH131&lt;&gt;"",IF(ISNA(VLOOKUP($N131,OFFSET(選手情報!$A$6:$BD$119,AH131,0),56,FALSE)),"",VLOOKUP($N131,OFFSET(選手情報!$A$6:$BD$119,AH131,0),56,FALSE)),"")</f>
        <v/>
      </c>
      <c r="AK131" s="127" t="str">
        <f ca="1">IF(AJ131&lt;&gt;"",IF(ISNA(VLOOKUP($N131,OFFSET(選手情報!$A$6:$M$119,AJ131,0),13,FALSE)),"","/"&amp;VLOOKUP($N131,OFFSET(選手情報!$A$6:$M$119,AJ131,0),13,FALSE)),"")</f>
        <v/>
      </c>
      <c r="AL131" s="127" t="str">
        <f ca="1">IF(AJ131&lt;&gt;"",IF(ISNA(VLOOKUP($N131,OFFSET(選手情報!$A$6:$BD$119,AJ131,0),56,FALSE)),"",VLOOKUP($N131,OFFSET(選手情報!$A$6:$BD$119,AJ131,0),56,FALSE)),"")</f>
        <v/>
      </c>
      <c r="AM131" s="127" t="str">
        <f ca="1">IF(AL131&lt;&gt;"",IF(ISNA(VLOOKUP($N131,OFFSET(選手情報!$A$6:$M$119,AL131,0),13,FALSE)),"","/"&amp;VLOOKUP($N131,OFFSET(選手情報!$A$6:$M$119,AL131,0),13,FALSE)),"")</f>
        <v/>
      </c>
      <c r="AN131" s="127" t="str">
        <f ca="1">IF(AL131&lt;&gt;"",IF(ISNA(VLOOKUP($N131,OFFSET(選手情報!$A$6:$BD$119,AL131,0),56,FALSE)),"",VLOOKUP($N131,OFFSET(選手情報!$A$6:$BD$119,AL131,0),56,FALSE)),"")</f>
        <v/>
      </c>
      <c r="AO131" s="127" t="str">
        <f ca="1">IF(AN131&lt;&gt;"",IF(ISNA(VLOOKUP($N131,OFFSET(選手情報!$A$6:$M$119,AN131,0),13,FALSE)),"","/"&amp;VLOOKUP($N131,OFFSET(選手情報!$A$6:$M$119,AN131,0),13,FALSE)),"")</f>
        <v/>
      </c>
      <c r="AP131" s="127" t="str">
        <f ca="1">IF(AN131&lt;&gt;"",IF(ISNA(VLOOKUP($N131,OFFSET(選手情報!$A$6:$BD$119,AN131,0),56,FALSE)),"",VLOOKUP($N131,OFFSET(選手情報!$A$6:$BD$119,AN131,0),56,FALSE)),"")</f>
        <v/>
      </c>
      <c r="AQ131" s="127" t="str">
        <f ca="1">IF(AP131&lt;&gt;"",IF(ISNA(VLOOKUP($N131,OFFSET(選手情報!$A$6:$M$119,AP131,0),13,FALSE)),"","/"&amp;VLOOKUP($N131,OFFSET(選手情報!$A$6:$M$119,AP131,0),13,FALSE)),"")</f>
        <v/>
      </c>
      <c r="AR131" s="127" t="str">
        <f ca="1">IF(AP131&lt;&gt;"",IF(ISNA(VLOOKUP($N131,OFFSET(選手情報!$A$6:$BD$119,AP131,0),56,FALSE)),"",VLOOKUP($N131,OFFSET(選手情報!$A$6:$BD$119,AP131,0),56,FALSE)),"")</f>
        <v/>
      </c>
      <c r="AS131" s="127" t="str">
        <f ca="1">IF(AR131&lt;&gt;"",IF(ISNA(VLOOKUP($N131,OFFSET(選手情報!$A$6:$M$119,AR131,0),13,FALSE)),"","/"&amp;VLOOKUP($N131,OFFSET(選手情報!$A$6:$M$119,AR131,0),13,FALSE)),"")</f>
        <v/>
      </c>
      <c r="AT131" s="127" t="str">
        <f ca="1">IF(AR131&lt;&gt;"",IF(ISNA(VLOOKUP($N131,OFFSET(選手情報!$A$6:$BD$119,AR131,0),56,FALSE)),"",VLOOKUP($N131,OFFSET(選手情報!$A$6:$BD$119,AR131,0),56,FALSE)),"")</f>
        <v/>
      </c>
      <c r="AU131" s="127" t="str">
        <f ca="1">IF(AT131&lt;&gt;"",IF(ISNA(VLOOKUP($N131,OFFSET(選手情報!$A$6:$M$119,AT131,0),13,FALSE)),"","/"&amp;VLOOKUP($N131,OFFSET(選手情報!$A$6:$M$119,AT131,0),13,FALSE)),"")</f>
        <v/>
      </c>
      <c r="AV131" s="127" t="str">
        <f ca="1">IF(AT131&lt;&gt;"",IF(ISNA(VLOOKUP($N131,OFFSET(選手情報!$A$6:$BD$119,AT131,0),56,FALSE)),"",VLOOKUP($N131,OFFSET(選手情報!$A$6:$BD$119,AT131,0),56,FALSE)),"")</f>
        <v/>
      </c>
      <c r="AW131" s="127" t="str">
        <f ca="1">IF(AV131&lt;&gt;"",IF(ISNA(VLOOKUP($N131,OFFSET(選手情報!$A$6:$M$119,AV131,0),13,FALSE)),"","/"&amp;VLOOKUP($N131,OFFSET(選手情報!$A$6:$M$119,AV131,0),13,FALSE)),"")</f>
        <v/>
      </c>
      <c r="AX131" s="127" t="str">
        <f ca="1">IF(AV131&lt;&gt;"",IF(ISNA(VLOOKUP($N131,OFFSET(選手情報!$A$6:$BD$119,AV131,0),56,FALSE)),"",VLOOKUP($N131,OFFSET(選手情報!$A$6:$BD$119,AV131,0),56,FALSE)),"")</f>
        <v/>
      </c>
      <c r="AY131" s="127" t="str">
        <f ca="1">IF(AX131&lt;&gt;"",IF(ISNA(VLOOKUP($N131,OFFSET(選手情報!$A$6:$M$119,AX131,0),13,FALSE)),"","/"&amp;VLOOKUP($N131,OFFSET(選手情報!$A$6:$M$119,AX131,0),13,FALSE)),"")</f>
        <v/>
      </c>
      <c r="AZ131" s="127" t="str">
        <f ca="1">IF(AX131&lt;&gt;"",IF(ISNA(VLOOKUP($N131,OFFSET(選手情報!$A$6:$BD$119,AX131,0),56,FALSE)),"",VLOOKUP($N131,OFFSET(選手情報!$A$6:$BD$119,AX131,0),56,FALSE)),"")</f>
        <v/>
      </c>
      <c r="BA131" s="127" t="str">
        <f ca="1">IF(AZ131&lt;&gt;"",IF(ISNA(VLOOKUP($N131,OFFSET(選手情報!$A$6:$M$119,AZ131,0),13,FALSE)),"","/"&amp;VLOOKUP($N131,OFFSET(選手情報!$A$6:$M$119,AZ131,0),13,FALSE)),"")</f>
        <v/>
      </c>
      <c r="BB131" s="127" t="str">
        <f ca="1">IF(AZ131&lt;&gt;"",IF(ISNA(VLOOKUP($N131,OFFSET(選手情報!$A$6:$BD$119,AZ131,0),56,FALSE)),"",VLOOKUP($N131,OFFSET(選手情報!$A$6:$BD$119,AZ131,0),56,FALSE)),"")</f>
        <v/>
      </c>
      <c r="BC131" s="127" t="str">
        <f ca="1">IF(BB131&lt;&gt;"",IF(ISNA(VLOOKUP($N131,OFFSET(選手情報!$A$6:$M$119,BB131,0),13,FALSE)),"","/"&amp;VLOOKUP($N131,OFFSET(選手情報!$A$6:$M$119,BB131,0),13,FALSE)),"")</f>
        <v/>
      </c>
      <c r="BD131" s="127" t="str">
        <f ca="1">IF(BB131&lt;&gt;"",IF(ISNA(VLOOKUP($N131,OFFSET(選手情報!$A$6:$BD$119,BB131,0),56,FALSE)),"",VLOOKUP($N131,OFFSET(選手情報!$A$6:$BD$119,BB131,0),56,FALSE)),"")</f>
        <v/>
      </c>
      <c r="BE131" s="127" t="str">
        <f ca="1">IF(BD131&lt;&gt;"",IF(ISNA(VLOOKUP($N131,OFFSET(選手情報!$A$6:$M$119,BD131,0),13,FALSE)),"","/"&amp;VLOOKUP($N131,OFFSET(選手情報!$A$6:$M$119,BD131,0),13,FALSE)),"")</f>
        <v/>
      </c>
      <c r="BF131" s="127" t="str">
        <f ca="1">IF(BD131&lt;&gt;"",IF(ISNA(VLOOKUP($N131,OFFSET(選手情報!$A$6:$BD$119,BD131,0),56,FALSE)),"",VLOOKUP($N131,OFFSET(選手情報!$A$6:$BD$119,BD131,0),56,FALSE)),"")</f>
        <v/>
      </c>
      <c r="BG131" s="127" t="str">
        <f ca="1">IF(BF131&lt;&gt;"",IF(ISNA(VLOOKUP($N131,OFFSET(選手情報!$A$6:$M$119,BF131,0),13,FALSE)),"","/"&amp;VLOOKUP($N131,OFFSET(選手情報!$A$6:$M$119,BF131,0),13,FALSE)),"")</f>
        <v/>
      </c>
      <c r="BH131" s="127" t="str">
        <f ca="1">IF(BF131&lt;&gt;"",IF(ISNA(VLOOKUP($N131,OFFSET(選手情報!$A$6:$BD$119,BF131,0),56,FALSE)),"",VLOOKUP($N131,OFFSET(選手情報!$A$6:$BD$119,BF131,0),56,FALSE)),"")</f>
        <v/>
      </c>
      <c r="BI131" s="127" t="str">
        <f ca="1">IF(BH131&lt;&gt;"",IF(ISNA(VLOOKUP($N131,OFFSET(選手情報!$A$6:$M$119,BH131,0),13,FALSE)),"","/"&amp;VLOOKUP($N131,OFFSET(選手情報!$A$6:$M$119,BH131,0),13,FALSE)),"")</f>
        <v/>
      </c>
    </row>
    <row r="132" spans="1:61" s="127" customFormat="1" ht="12.6" customHeight="1">
      <c r="A132" s="128" t="str">
        <f>IF(ISNA(VLOOKUP($C$2&amp;N132,選手データ!A:H,3,FALSE)),"",IF(M132&lt;&gt;M131,VLOOKUP($C$2&amp;N132,選手データ!A:H,3,FALSE),""))</f>
        <v/>
      </c>
      <c r="B132" s="129" t="str">
        <f>IF(A132&lt;&gt;"",VLOOKUP($C$2&amp;N132,選手データ!A:H,4,FALSE),"")</f>
        <v/>
      </c>
      <c r="C132" s="129" t="str">
        <f>IF(A132&lt;&gt;"",VLOOKUP($C$2&amp;N132,選手データ!A:H,5,FALSE),"")</f>
        <v/>
      </c>
      <c r="D132" s="129" t="str">
        <f>IF(A132&lt;&gt;"",VLOOKUP($C$2&amp;N132,選手データ!A:H,6,FALSE),"")</f>
        <v/>
      </c>
      <c r="E132" s="129" t="str">
        <f>IF(A132&lt;&gt;"",VLOOKUP($C$2&amp;N132,選手データ!A:H,7,FALSE),"")</f>
        <v/>
      </c>
      <c r="F132" s="130" t="str">
        <f>IF(A132&lt;&gt;"",VLOOKUP($C$2&amp;N132,選手データ!A:H,8,FALSE),"")</f>
        <v/>
      </c>
      <c r="G132" s="130" t="str">
        <f>IF(F132&lt;&gt;"",IF(DATEDIF(F132,設定!$B$12,"Y")&lt;20,"〇",""),"")</f>
        <v/>
      </c>
      <c r="H132" s="131" t="str">
        <f t="shared" ca="1" si="13"/>
        <v/>
      </c>
      <c r="I132" s="132" t="str">
        <f t="shared" ca="1" si="14"/>
        <v/>
      </c>
      <c r="J132" s="131" t="str">
        <f t="shared" ca="1" si="15"/>
        <v/>
      </c>
      <c r="K132" s="130" t="str">
        <f>IF(A132&lt;&gt;"",IF(COUNTIF(リレーチーム情報!$B$17:$B$22,A132&amp;E132)=1,"〇",""),"")</f>
        <v/>
      </c>
      <c r="L132" s="133" t="str">
        <f>IF(A132&lt;&gt;"",IF(COUNTIF(リレーチーム情報!$B$23:$B$28,A132&amp;E132)=1,"〇",""),"")</f>
        <v/>
      </c>
      <c r="M132" s="127">
        <f>IF(学校情報!$A$4&lt;&gt;"",0,IF(S131=0,MAX($M$109:M131)+1,M131))</f>
        <v>0</v>
      </c>
      <c r="N132" s="127" t="str">
        <f>IF(M132&lt;&gt;0,VLOOKUP(M132,選手情報!BI:BJ,2,FALSE),"")</f>
        <v/>
      </c>
      <c r="O132" s="127" t="str">
        <f ca="1">IF(M132&lt;&gt;0,VLOOKUP(N132,OFFSET(選手情報!$A$6:$W$119,IF(M132&lt;&gt;M131,0,R131),0),13,FALSE),"")</f>
        <v/>
      </c>
      <c r="P132" s="127" t="str">
        <f ca="1">IF(M132&lt;&gt;0,VLOOKUP(N132,OFFSET(選手情報!$A$6:$W$119,IF(M132&lt;&gt;M131,0,R131),0),16,FALSE),"")</f>
        <v/>
      </c>
      <c r="Q132" s="127" t="str">
        <f ca="1">IF(M132&lt;&gt;0,VLOOKUP(N132,OFFSET(選手情報!$A$6:$W$119,IF(M132&lt;&gt;M131,0,R131),0),21,FALSE),"")</f>
        <v/>
      </c>
      <c r="R132" s="127">
        <f ca="1">IF(M132&lt;&gt;0,VLOOKUP(N132,OFFSET(選手情報!$A$6:$BD$119,IF(M132&lt;&gt;M131,0,R131),0),56,FALSE),0)</f>
        <v>0</v>
      </c>
      <c r="S132" s="127">
        <f ca="1">IF(M132&lt;&gt;0,IF(ISNA(R132),0,COUNTIF(OFFSET(選手情報!$A$6:$A$119,R132,0),N132)),0)</f>
        <v>0</v>
      </c>
      <c r="U132" s="127">
        <f t="shared" si="16"/>
        <v>0</v>
      </c>
      <c r="V132" s="127">
        <f t="shared" ca="1" si="17"/>
        <v>1</v>
      </c>
      <c r="W132" s="127">
        <f t="shared" ca="1" si="12"/>
        <v>0</v>
      </c>
      <c r="X132" s="127" t="str">
        <f t="shared" ca="1" si="18"/>
        <v/>
      </c>
      <c r="Y132" s="127" t="str">
        <f>IF($A132&lt;&gt;"",IF(ISNA(VLOOKUP($N132,選手情報!$A$6:$M$119,13,FALSE)),"","/"&amp;VLOOKUP($N132,選手情報!$A$6:$M$119,13,FALSE)),"")</f>
        <v/>
      </c>
      <c r="Z132" s="127" t="str">
        <f ca="1">IF(Y132&lt;&gt;"",IF(ISNA(VLOOKUP($N132,OFFSET(選手情報!$A$6:$BD$119,0,0),56,FALSE)),"",VLOOKUP($N132,OFFSET(選手情報!$A$6:$BD$119,0,0),56,FALSE)),"")</f>
        <v/>
      </c>
      <c r="AA132" s="127" t="str">
        <f ca="1">IF(Z132&lt;&gt;"",IF(ISNA(VLOOKUP($N132,OFFSET(選手情報!$A$6:$M$119,Z132,0),13,FALSE)),"","/"&amp;VLOOKUP($N132,OFFSET(選手情報!$A$6:$M$119,Z132,0),13,FALSE)),"")</f>
        <v/>
      </c>
      <c r="AB132" s="127" t="str">
        <f ca="1">IF(Z132&lt;&gt;"",IF(ISNA(VLOOKUP($N132,OFFSET(選手情報!$A$6:$BD$119,Z132,0),56,FALSE)),"",VLOOKUP($N132,OFFSET(選手情報!$A$6:$BD$119,Z132,0),56,FALSE)),"")</f>
        <v/>
      </c>
      <c r="AC132" s="127" t="str">
        <f ca="1">IF(AB132&lt;&gt;"",IF(ISNA(VLOOKUP($N132,OFFSET(選手情報!$A$6:$M$119,AB132,0),13,FALSE)),"","/"&amp;VLOOKUP($N132,OFFSET(選手情報!$A$6:$M$119,AB132,0),13,FALSE)),"")</f>
        <v/>
      </c>
      <c r="AD132" s="127" t="str">
        <f ca="1">IF(AB132&lt;&gt;"",IF(ISNA(VLOOKUP($N132,OFFSET(選手情報!$A$6:$BD$119,AB132,0),56,FALSE)),"",VLOOKUP($N132,OFFSET(選手情報!$A$6:$BD$119,AB132,0),56,FALSE)),"")</f>
        <v/>
      </c>
      <c r="AE132" s="127" t="str">
        <f ca="1">IF(AD132&lt;&gt;"",IF(ISNA(VLOOKUP($N132,OFFSET(選手情報!$A$6:$M$119,AD132,0),13,FALSE)),"","/"&amp;VLOOKUP($N132,OFFSET(選手情報!$A$6:$M$119,AD132,0),13,FALSE)),"")</f>
        <v/>
      </c>
      <c r="AF132" s="127" t="str">
        <f ca="1">IF(AD132&lt;&gt;"",IF(ISNA(VLOOKUP($N132,OFFSET(選手情報!$A$6:$BD$119,AD132,0),56,FALSE)),"",VLOOKUP($N132,OFFSET(選手情報!$A$6:$BD$119,AD132,0),56,FALSE)),"")</f>
        <v/>
      </c>
      <c r="AG132" s="127" t="str">
        <f ca="1">IF(AF132&lt;&gt;"",IF(ISNA(VLOOKUP($N132,OFFSET(選手情報!$A$6:$M$119,AF132,0),13,FALSE)),"","/"&amp;VLOOKUP($N132,OFFSET(選手情報!$A$6:$M$119,AF132,0),13,FALSE)),"")</f>
        <v/>
      </c>
      <c r="AH132" s="127" t="str">
        <f ca="1">IF(AF132&lt;&gt;"",IF(ISNA(VLOOKUP($N132,OFFSET(選手情報!$A$6:$BD$119,AF132,0),56,FALSE)),"",VLOOKUP($N132,OFFSET(選手情報!$A$6:$BD$119,AF132,0),56,FALSE)),"")</f>
        <v/>
      </c>
      <c r="AI132" s="127" t="str">
        <f ca="1">IF(AH132&lt;&gt;"",IF(ISNA(VLOOKUP($N132,OFFSET(選手情報!$A$6:$M$119,AH132,0),13,FALSE)),"","/"&amp;VLOOKUP($N132,OFFSET(選手情報!$A$6:$M$119,AH132,0),13,FALSE)),"")</f>
        <v/>
      </c>
      <c r="AJ132" s="127" t="str">
        <f ca="1">IF(AH132&lt;&gt;"",IF(ISNA(VLOOKUP($N132,OFFSET(選手情報!$A$6:$BD$119,AH132,0),56,FALSE)),"",VLOOKUP($N132,OFFSET(選手情報!$A$6:$BD$119,AH132,0),56,FALSE)),"")</f>
        <v/>
      </c>
      <c r="AK132" s="127" t="str">
        <f ca="1">IF(AJ132&lt;&gt;"",IF(ISNA(VLOOKUP($N132,OFFSET(選手情報!$A$6:$M$119,AJ132,0),13,FALSE)),"","/"&amp;VLOOKUP($N132,OFFSET(選手情報!$A$6:$M$119,AJ132,0),13,FALSE)),"")</f>
        <v/>
      </c>
      <c r="AL132" s="127" t="str">
        <f ca="1">IF(AJ132&lt;&gt;"",IF(ISNA(VLOOKUP($N132,OFFSET(選手情報!$A$6:$BD$119,AJ132,0),56,FALSE)),"",VLOOKUP($N132,OFFSET(選手情報!$A$6:$BD$119,AJ132,0),56,FALSE)),"")</f>
        <v/>
      </c>
      <c r="AM132" s="127" t="str">
        <f ca="1">IF(AL132&lt;&gt;"",IF(ISNA(VLOOKUP($N132,OFFSET(選手情報!$A$6:$M$119,AL132,0),13,FALSE)),"","/"&amp;VLOOKUP($N132,OFFSET(選手情報!$A$6:$M$119,AL132,0),13,FALSE)),"")</f>
        <v/>
      </c>
      <c r="AN132" s="127" t="str">
        <f ca="1">IF(AL132&lt;&gt;"",IF(ISNA(VLOOKUP($N132,OFFSET(選手情報!$A$6:$BD$119,AL132,0),56,FALSE)),"",VLOOKUP($N132,OFFSET(選手情報!$A$6:$BD$119,AL132,0),56,FALSE)),"")</f>
        <v/>
      </c>
      <c r="AO132" s="127" t="str">
        <f ca="1">IF(AN132&lt;&gt;"",IF(ISNA(VLOOKUP($N132,OFFSET(選手情報!$A$6:$M$119,AN132,0),13,FALSE)),"","/"&amp;VLOOKUP($N132,OFFSET(選手情報!$A$6:$M$119,AN132,0),13,FALSE)),"")</f>
        <v/>
      </c>
      <c r="AP132" s="127" t="str">
        <f ca="1">IF(AN132&lt;&gt;"",IF(ISNA(VLOOKUP($N132,OFFSET(選手情報!$A$6:$BD$119,AN132,0),56,FALSE)),"",VLOOKUP($N132,OFFSET(選手情報!$A$6:$BD$119,AN132,0),56,FALSE)),"")</f>
        <v/>
      </c>
      <c r="AQ132" s="127" t="str">
        <f ca="1">IF(AP132&lt;&gt;"",IF(ISNA(VLOOKUP($N132,OFFSET(選手情報!$A$6:$M$119,AP132,0),13,FALSE)),"","/"&amp;VLOOKUP($N132,OFFSET(選手情報!$A$6:$M$119,AP132,0),13,FALSE)),"")</f>
        <v/>
      </c>
      <c r="AR132" s="127" t="str">
        <f ca="1">IF(AP132&lt;&gt;"",IF(ISNA(VLOOKUP($N132,OFFSET(選手情報!$A$6:$BD$119,AP132,0),56,FALSE)),"",VLOOKUP($N132,OFFSET(選手情報!$A$6:$BD$119,AP132,0),56,FALSE)),"")</f>
        <v/>
      </c>
      <c r="AS132" s="127" t="str">
        <f ca="1">IF(AR132&lt;&gt;"",IF(ISNA(VLOOKUP($N132,OFFSET(選手情報!$A$6:$M$119,AR132,0),13,FALSE)),"","/"&amp;VLOOKUP($N132,OFFSET(選手情報!$A$6:$M$119,AR132,0),13,FALSE)),"")</f>
        <v/>
      </c>
      <c r="AT132" s="127" t="str">
        <f ca="1">IF(AR132&lt;&gt;"",IF(ISNA(VLOOKUP($N132,OFFSET(選手情報!$A$6:$BD$119,AR132,0),56,FALSE)),"",VLOOKUP($N132,OFFSET(選手情報!$A$6:$BD$119,AR132,0),56,FALSE)),"")</f>
        <v/>
      </c>
      <c r="AU132" s="127" t="str">
        <f ca="1">IF(AT132&lt;&gt;"",IF(ISNA(VLOOKUP($N132,OFFSET(選手情報!$A$6:$M$119,AT132,0),13,FALSE)),"","/"&amp;VLOOKUP($N132,OFFSET(選手情報!$A$6:$M$119,AT132,0),13,FALSE)),"")</f>
        <v/>
      </c>
      <c r="AV132" s="127" t="str">
        <f ca="1">IF(AT132&lt;&gt;"",IF(ISNA(VLOOKUP($N132,OFFSET(選手情報!$A$6:$BD$119,AT132,0),56,FALSE)),"",VLOOKUP($N132,OFFSET(選手情報!$A$6:$BD$119,AT132,0),56,FALSE)),"")</f>
        <v/>
      </c>
      <c r="AW132" s="127" t="str">
        <f ca="1">IF(AV132&lt;&gt;"",IF(ISNA(VLOOKUP($N132,OFFSET(選手情報!$A$6:$M$119,AV132,0),13,FALSE)),"","/"&amp;VLOOKUP($N132,OFFSET(選手情報!$A$6:$M$119,AV132,0),13,FALSE)),"")</f>
        <v/>
      </c>
      <c r="AX132" s="127" t="str">
        <f ca="1">IF(AV132&lt;&gt;"",IF(ISNA(VLOOKUP($N132,OFFSET(選手情報!$A$6:$BD$119,AV132,0),56,FALSE)),"",VLOOKUP($N132,OFFSET(選手情報!$A$6:$BD$119,AV132,0),56,FALSE)),"")</f>
        <v/>
      </c>
      <c r="AY132" s="127" t="str">
        <f ca="1">IF(AX132&lt;&gt;"",IF(ISNA(VLOOKUP($N132,OFFSET(選手情報!$A$6:$M$119,AX132,0),13,FALSE)),"","/"&amp;VLOOKUP($N132,OFFSET(選手情報!$A$6:$M$119,AX132,0),13,FALSE)),"")</f>
        <v/>
      </c>
      <c r="AZ132" s="127" t="str">
        <f ca="1">IF(AX132&lt;&gt;"",IF(ISNA(VLOOKUP($N132,OFFSET(選手情報!$A$6:$BD$119,AX132,0),56,FALSE)),"",VLOOKUP($N132,OFFSET(選手情報!$A$6:$BD$119,AX132,0),56,FALSE)),"")</f>
        <v/>
      </c>
      <c r="BA132" s="127" t="str">
        <f ca="1">IF(AZ132&lt;&gt;"",IF(ISNA(VLOOKUP($N132,OFFSET(選手情報!$A$6:$M$119,AZ132,0),13,FALSE)),"","/"&amp;VLOOKUP($N132,OFFSET(選手情報!$A$6:$M$119,AZ132,0),13,FALSE)),"")</f>
        <v/>
      </c>
      <c r="BB132" s="127" t="str">
        <f ca="1">IF(AZ132&lt;&gt;"",IF(ISNA(VLOOKUP($N132,OFFSET(選手情報!$A$6:$BD$119,AZ132,0),56,FALSE)),"",VLOOKUP($N132,OFFSET(選手情報!$A$6:$BD$119,AZ132,0),56,FALSE)),"")</f>
        <v/>
      </c>
      <c r="BC132" s="127" t="str">
        <f ca="1">IF(BB132&lt;&gt;"",IF(ISNA(VLOOKUP($N132,OFFSET(選手情報!$A$6:$M$119,BB132,0),13,FALSE)),"","/"&amp;VLOOKUP($N132,OFFSET(選手情報!$A$6:$M$119,BB132,0),13,FALSE)),"")</f>
        <v/>
      </c>
      <c r="BD132" s="127" t="str">
        <f ca="1">IF(BB132&lt;&gt;"",IF(ISNA(VLOOKUP($N132,OFFSET(選手情報!$A$6:$BD$119,BB132,0),56,FALSE)),"",VLOOKUP($N132,OFFSET(選手情報!$A$6:$BD$119,BB132,0),56,FALSE)),"")</f>
        <v/>
      </c>
      <c r="BE132" s="127" t="str">
        <f ca="1">IF(BD132&lt;&gt;"",IF(ISNA(VLOOKUP($N132,OFFSET(選手情報!$A$6:$M$119,BD132,0),13,FALSE)),"","/"&amp;VLOOKUP($N132,OFFSET(選手情報!$A$6:$M$119,BD132,0),13,FALSE)),"")</f>
        <v/>
      </c>
      <c r="BF132" s="127" t="str">
        <f ca="1">IF(BD132&lt;&gt;"",IF(ISNA(VLOOKUP($N132,OFFSET(選手情報!$A$6:$BD$119,BD132,0),56,FALSE)),"",VLOOKUP($N132,OFFSET(選手情報!$A$6:$BD$119,BD132,0),56,FALSE)),"")</f>
        <v/>
      </c>
      <c r="BG132" s="127" t="str">
        <f ca="1">IF(BF132&lt;&gt;"",IF(ISNA(VLOOKUP($N132,OFFSET(選手情報!$A$6:$M$119,BF132,0),13,FALSE)),"","/"&amp;VLOOKUP($N132,OFFSET(選手情報!$A$6:$M$119,BF132,0),13,FALSE)),"")</f>
        <v/>
      </c>
      <c r="BH132" s="127" t="str">
        <f ca="1">IF(BF132&lt;&gt;"",IF(ISNA(VLOOKUP($N132,OFFSET(選手情報!$A$6:$BD$119,BF132,0),56,FALSE)),"",VLOOKUP($N132,OFFSET(選手情報!$A$6:$BD$119,BF132,0),56,FALSE)),"")</f>
        <v/>
      </c>
      <c r="BI132" s="127" t="str">
        <f ca="1">IF(BH132&lt;&gt;"",IF(ISNA(VLOOKUP($N132,OFFSET(選手情報!$A$6:$M$119,BH132,0),13,FALSE)),"","/"&amp;VLOOKUP($N132,OFFSET(選手情報!$A$6:$M$119,BH132,0),13,FALSE)),"")</f>
        <v/>
      </c>
    </row>
    <row r="133" spans="1:61" s="127" customFormat="1" ht="12.6" customHeight="1">
      <c r="A133" s="128" t="str">
        <f>IF(ISNA(VLOOKUP($C$2&amp;N133,選手データ!A:H,3,FALSE)),"",IF(M133&lt;&gt;M132,VLOOKUP($C$2&amp;N133,選手データ!A:H,3,FALSE),""))</f>
        <v/>
      </c>
      <c r="B133" s="129" t="str">
        <f>IF(A133&lt;&gt;"",VLOOKUP($C$2&amp;N133,選手データ!A:H,4,FALSE),"")</f>
        <v/>
      </c>
      <c r="C133" s="129" t="str">
        <f>IF(A133&lt;&gt;"",VLOOKUP($C$2&amp;N133,選手データ!A:H,5,FALSE),"")</f>
        <v/>
      </c>
      <c r="D133" s="129" t="str">
        <f>IF(A133&lt;&gt;"",VLOOKUP($C$2&amp;N133,選手データ!A:H,6,FALSE),"")</f>
        <v/>
      </c>
      <c r="E133" s="129" t="str">
        <f>IF(A133&lt;&gt;"",VLOOKUP($C$2&amp;N133,選手データ!A:H,7,FALSE),"")</f>
        <v/>
      </c>
      <c r="F133" s="130" t="str">
        <f>IF(A133&lt;&gt;"",VLOOKUP($C$2&amp;N133,選手データ!A:H,8,FALSE),"")</f>
        <v/>
      </c>
      <c r="G133" s="130" t="str">
        <f>IF(F133&lt;&gt;"",IF(DATEDIF(F133,設定!$B$12,"Y")&lt;20,"〇",""),"")</f>
        <v/>
      </c>
      <c r="H133" s="131" t="str">
        <f t="shared" ca="1" si="13"/>
        <v/>
      </c>
      <c r="I133" s="132" t="str">
        <f t="shared" ca="1" si="14"/>
        <v/>
      </c>
      <c r="J133" s="131" t="str">
        <f t="shared" ca="1" si="15"/>
        <v/>
      </c>
      <c r="K133" s="130" t="str">
        <f>IF(A133&lt;&gt;"",IF(COUNTIF(リレーチーム情報!$B$17:$B$22,A133&amp;E133)=1,"〇",""),"")</f>
        <v/>
      </c>
      <c r="L133" s="133" t="str">
        <f>IF(A133&lt;&gt;"",IF(COUNTIF(リレーチーム情報!$B$23:$B$28,A133&amp;E133)=1,"〇",""),"")</f>
        <v/>
      </c>
      <c r="M133" s="127">
        <f>IF(学校情報!$A$4&lt;&gt;"",0,IF(S132=0,MAX($M$109:M132)+1,M132))</f>
        <v>0</v>
      </c>
      <c r="N133" s="127" t="str">
        <f>IF(M133&lt;&gt;0,VLOOKUP(M133,選手情報!BI:BJ,2,FALSE),"")</f>
        <v/>
      </c>
      <c r="O133" s="127" t="str">
        <f ca="1">IF(M133&lt;&gt;0,VLOOKUP(N133,OFFSET(選手情報!$A$6:$W$119,IF(M133&lt;&gt;M132,0,R132),0),13,FALSE),"")</f>
        <v/>
      </c>
      <c r="P133" s="127" t="str">
        <f ca="1">IF(M133&lt;&gt;0,VLOOKUP(N133,OFFSET(選手情報!$A$6:$W$119,IF(M133&lt;&gt;M132,0,R132),0),16,FALSE),"")</f>
        <v/>
      </c>
      <c r="Q133" s="127" t="str">
        <f ca="1">IF(M133&lt;&gt;0,VLOOKUP(N133,OFFSET(選手情報!$A$6:$W$119,IF(M133&lt;&gt;M132,0,R132),0),21,FALSE),"")</f>
        <v/>
      </c>
      <c r="R133" s="127">
        <f ca="1">IF(M133&lt;&gt;0,VLOOKUP(N133,OFFSET(選手情報!$A$6:$BD$119,IF(M133&lt;&gt;M132,0,R132),0),56,FALSE),0)</f>
        <v>0</v>
      </c>
      <c r="S133" s="127">
        <f ca="1">IF(M133&lt;&gt;0,IF(ISNA(R133),0,COUNTIF(OFFSET(選手情報!$A$6:$A$119,R133,0),N133)),0)</f>
        <v>0</v>
      </c>
      <c r="U133" s="127">
        <f t="shared" si="16"/>
        <v>0</v>
      </c>
      <c r="V133" s="127">
        <f t="shared" ca="1" si="17"/>
        <v>1</v>
      </c>
      <c r="W133" s="127">
        <f t="shared" ca="1" si="12"/>
        <v>0</v>
      </c>
      <c r="X133" s="127" t="str">
        <f t="shared" ca="1" si="18"/>
        <v/>
      </c>
      <c r="Y133" s="127" t="str">
        <f>IF($A133&lt;&gt;"",IF(ISNA(VLOOKUP($N133,選手情報!$A$6:$M$119,13,FALSE)),"","/"&amp;VLOOKUP($N133,選手情報!$A$6:$M$119,13,FALSE)),"")</f>
        <v/>
      </c>
      <c r="Z133" s="127" t="str">
        <f ca="1">IF(Y133&lt;&gt;"",IF(ISNA(VLOOKUP($N133,OFFSET(選手情報!$A$6:$BD$119,0,0),56,FALSE)),"",VLOOKUP($N133,OFFSET(選手情報!$A$6:$BD$119,0,0),56,FALSE)),"")</f>
        <v/>
      </c>
      <c r="AA133" s="127" t="str">
        <f ca="1">IF(Z133&lt;&gt;"",IF(ISNA(VLOOKUP($N133,OFFSET(選手情報!$A$6:$M$119,Z133,0),13,FALSE)),"","/"&amp;VLOOKUP($N133,OFFSET(選手情報!$A$6:$M$119,Z133,0),13,FALSE)),"")</f>
        <v/>
      </c>
      <c r="AB133" s="127" t="str">
        <f ca="1">IF(Z133&lt;&gt;"",IF(ISNA(VLOOKUP($N133,OFFSET(選手情報!$A$6:$BD$119,Z133,0),56,FALSE)),"",VLOOKUP($N133,OFFSET(選手情報!$A$6:$BD$119,Z133,0),56,FALSE)),"")</f>
        <v/>
      </c>
      <c r="AC133" s="127" t="str">
        <f ca="1">IF(AB133&lt;&gt;"",IF(ISNA(VLOOKUP($N133,OFFSET(選手情報!$A$6:$M$119,AB133,0),13,FALSE)),"","/"&amp;VLOOKUP($N133,OFFSET(選手情報!$A$6:$M$119,AB133,0),13,FALSE)),"")</f>
        <v/>
      </c>
      <c r="AD133" s="127" t="str">
        <f ca="1">IF(AB133&lt;&gt;"",IF(ISNA(VLOOKUP($N133,OFFSET(選手情報!$A$6:$BD$119,AB133,0),56,FALSE)),"",VLOOKUP($N133,OFFSET(選手情報!$A$6:$BD$119,AB133,0),56,FALSE)),"")</f>
        <v/>
      </c>
      <c r="AE133" s="127" t="str">
        <f ca="1">IF(AD133&lt;&gt;"",IF(ISNA(VLOOKUP($N133,OFFSET(選手情報!$A$6:$M$119,AD133,0),13,FALSE)),"","/"&amp;VLOOKUP($N133,OFFSET(選手情報!$A$6:$M$119,AD133,0),13,FALSE)),"")</f>
        <v/>
      </c>
      <c r="AF133" s="127" t="str">
        <f ca="1">IF(AD133&lt;&gt;"",IF(ISNA(VLOOKUP($N133,OFFSET(選手情報!$A$6:$BD$119,AD133,0),56,FALSE)),"",VLOOKUP($N133,OFFSET(選手情報!$A$6:$BD$119,AD133,0),56,FALSE)),"")</f>
        <v/>
      </c>
      <c r="AG133" s="127" t="str">
        <f ca="1">IF(AF133&lt;&gt;"",IF(ISNA(VLOOKUP($N133,OFFSET(選手情報!$A$6:$M$119,AF133,0),13,FALSE)),"","/"&amp;VLOOKUP($N133,OFFSET(選手情報!$A$6:$M$119,AF133,0),13,FALSE)),"")</f>
        <v/>
      </c>
      <c r="AH133" s="127" t="str">
        <f ca="1">IF(AF133&lt;&gt;"",IF(ISNA(VLOOKUP($N133,OFFSET(選手情報!$A$6:$BD$119,AF133,0),56,FALSE)),"",VLOOKUP($N133,OFFSET(選手情報!$A$6:$BD$119,AF133,0),56,FALSE)),"")</f>
        <v/>
      </c>
      <c r="AI133" s="127" t="str">
        <f ca="1">IF(AH133&lt;&gt;"",IF(ISNA(VLOOKUP($N133,OFFSET(選手情報!$A$6:$M$119,AH133,0),13,FALSE)),"","/"&amp;VLOOKUP($N133,OFFSET(選手情報!$A$6:$M$119,AH133,0),13,FALSE)),"")</f>
        <v/>
      </c>
      <c r="AJ133" s="127" t="str">
        <f ca="1">IF(AH133&lt;&gt;"",IF(ISNA(VLOOKUP($N133,OFFSET(選手情報!$A$6:$BD$119,AH133,0),56,FALSE)),"",VLOOKUP($N133,OFFSET(選手情報!$A$6:$BD$119,AH133,0),56,FALSE)),"")</f>
        <v/>
      </c>
      <c r="AK133" s="127" t="str">
        <f ca="1">IF(AJ133&lt;&gt;"",IF(ISNA(VLOOKUP($N133,OFFSET(選手情報!$A$6:$M$119,AJ133,0),13,FALSE)),"","/"&amp;VLOOKUP($N133,OFFSET(選手情報!$A$6:$M$119,AJ133,0),13,FALSE)),"")</f>
        <v/>
      </c>
      <c r="AL133" s="127" t="str">
        <f ca="1">IF(AJ133&lt;&gt;"",IF(ISNA(VLOOKUP($N133,OFFSET(選手情報!$A$6:$BD$119,AJ133,0),56,FALSE)),"",VLOOKUP($N133,OFFSET(選手情報!$A$6:$BD$119,AJ133,0),56,FALSE)),"")</f>
        <v/>
      </c>
      <c r="AM133" s="127" t="str">
        <f ca="1">IF(AL133&lt;&gt;"",IF(ISNA(VLOOKUP($N133,OFFSET(選手情報!$A$6:$M$119,AL133,0),13,FALSE)),"","/"&amp;VLOOKUP($N133,OFFSET(選手情報!$A$6:$M$119,AL133,0),13,FALSE)),"")</f>
        <v/>
      </c>
      <c r="AN133" s="127" t="str">
        <f ca="1">IF(AL133&lt;&gt;"",IF(ISNA(VLOOKUP($N133,OFFSET(選手情報!$A$6:$BD$119,AL133,0),56,FALSE)),"",VLOOKUP($N133,OFFSET(選手情報!$A$6:$BD$119,AL133,0),56,FALSE)),"")</f>
        <v/>
      </c>
      <c r="AO133" s="127" t="str">
        <f ca="1">IF(AN133&lt;&gt;"",IF(ISNA(VLOOKUP($N133,OFFSET(選手情報!$A$6:$M$119,AN133,0),13,FALSE)),"","/"&amp;VLOOKUP($N133,OFFSET(選手情報!$A$6:$M$119,AN133,0),13,FALSE)),"")</f>
        <v/>
      </c>
      <c r="AP133" s="127" t="str">
        <f ca="1">IF(AN133&lt;&gt;"",IF(ISNA(VLOOKUP($N133,OFFSET(選手情報!$A$6:$BD$119,AN133,0),56,FALSE)),"",VLOOKUP($N133,OFFSET(選手情報!$A$6:$BD$119,AN133,0),56,FALSE)),"")</f>
        <v/>
      </c>
      <c r="AQ133" s="127" t="str">
        <f ca="1">IF(AP133&lt;&gt;"",IF(ISNA(VLOOKUP($N133,OFFSET(選手情報!$A$6:$M$119,AP133,0),13,FALSE)),"","/"&amp;VLOOKUP($N133,OFFSET(選手情報!$A$6:$M$119,AP133,0),13,FALSE)),"")</f>
        <v/>
      </c>
      <c r="AR133" s="127" t="str">
        <f ca="1">IF(AP133&lt;&gt;"",IF(ISNA(VLOOKUP($N133,OFFSET(選手情報!$A$6:$BD$119,AP133,0),56,FALSE)),"",VLOOKUP($N133,OFFSET(選手情報!$A$6:$BD$119,AP133,0),56,FALSE)),"")</f>
        <v/>
      </c>
      <c r="AS133" s="127" t="str">
        <f ca="1">IF(AR133&lt;&gt;"",IF(ISNA(VLOOKUP($N133,OFFSET(選手情報!$A$6:$M$119,AR133,0),13,FALSE)),"","/"&amp;VLOOKUP($N133,OFFSET(選手情報!$A$6:$M$119,AR133,0),13,FALSE)),"")</f>
        <v/>
      </c>
      <c r="AT133" s="127" t="str">
        <f ca="1">IF(AR133&lt;&gt;"",IF(ISNA(VLOOKUP($N133,OFFSET(選手情報!$A$6:$BD$119,AR133,0),56,FALSE)),"",VLOOKUP($N133,OFFSET(選手情報!$A$6:$BD$119,AR133,0),56,FALSE)),"")</f>
        <v/>
      </c>
      <c r="AU133" s="127" t="str">
        <f ca="1">IF(AT133&lt;&gt;"",IF(ISNA(VLOOKUP($N133,OFFSET(選手情報!$A$6:$M$119,AT133,0),13,FALSE)),"","/"&amp;VLOOKUP($N133,OFFSET(選手情報!$A$6:$M$119,AT133,0),13,FALSE)),"")</f>
        <v/>
      </c>
      <c r="AV133" s="127" t="str">
        <f ca="1">IF(AT133&lt;&gt;"",IF(ISNA(VLOOKUP($N133,OFFSET(選手情報!$A$6:$BD$119,AT133,0),56,FALSE)),"",VLOOKUP($N133,OFFSET(選手情報!$A$6:$BD$119,AT133,0),56,FALSE)),"")</f>
        <v/>
      </c>
      <c r="AW133" s="127" t="str">
        <f ca="1">IF(AV133&lt;&gt;"",IF(ISNA(VLOOKUP($N133,OFFSET(選手情報!$A$6:$M$119,AV133,0),13,FALSE)),"","/"&amp;VLOOKUP($N133,OFFSET(選手情報!$A$6:$M$119,AV133,0),13,FALSE)),"")</f>
        <v/>
      </c>
      <c r="AX133" s="127" t="str">
        <f ca="1">IF(AV133&lt;&gt;"",IF(ISNA(VLOOKUP($N133,OFFSET(選手情報!$A$6:$BD$119,AV133,0),56,FALSE)),"",VLOOKUP($N133,OFFSET(選手情報!$A$6:$BD$119,AV133,0),56,FALSE)),"")</f>
        <v/>
      </c>
      <c r="AY133" s="127" t="str">
        <f ca="1">IF(AX133&lt;&gt;"",IF(ISNA(VLOOKUP($N133,OFFSET(選手情報!$A$6:$M$119,AX133,0),13,FALSE)),"","/"&amp;VLOOKUP($N133,OFFSET(選手情報!$A$6:$M$119,AX133,0),13,FALSE)),"")</f>
        <v/>
      </c>
      <c r="AZ133" s="127" t="str">
        <f ca="1">IF(AX133&lt;&gt;"",IF(ISNA(VLOOKUP($N133,OFFSET(選手情報!$A$6:$BD$119,AX133,0),56,FALSE)),"",VLOOKUP($N133,OFFSET(選手情報!$A$6:$BD$119,AX133,0),56,FALSE)),"")</f>
        <v/>
      </c>
      <c r="BA133" s="127" t="str">
        <f ca="1">IF(AZ133&lt;&gt;"",IF(ISNA(VLOOKUP($N133,OFFSET(選手情報!$A$6:$M$119,AZ133,0),13,FALSE)),"","/"&amp;VLOOKUP($N133,OFFSET(選手情報!$A$6:$M$119,AZ133,0),13,FALSE)),"")</f>
        <v/>
      </c>
      <c r="BB133" s="127" t="str">
        <f ca="1">IF(AZ133&lt;&gt;"",IF(ISNA(VLOOKUP($N133,OFFSET(選手情報!$A$6:$BD$119,AZ133,0),56,FALSE)),"",VLOOKUP($N133,OFFSET(選手情報!$A$6:$BD$119,AZ133,0),56,FALSE)),"")</f>
        <v/>
      </c>
      <c r="BC133" s="127" t="str">
        <f ca="1">IF(BB133&lt;&gt;"",IF(ISNA(VLOOKUP($N133,OFFSET(選手情報!$A$6:$M$119,BB133,0),13,FALSE)),"","/"&amp;VLOOKUP($N133,OFFSET(選手情報!$A$6:$M$119,BB133,0),13,FALSE)),"")</f>
        <v/>
      </c>
      <c r="BD133" s="127" t="str">
        <f ca="1">IF(BB133&lt;&gt;"",IF(ISNA(VLOOKUP($N133,OFFSET(選手情報!$A$6:$BD$119,BB133,0),56,FALSE)),"",VLOOKUP($N133,OFFSET(選手情報!$A$6:$BD$119,BB133,0),56,FALSE)),"")</f>
        <v/>
      </c>
      <c r="BE133" s="127" t="str">
        <f ca="1">IF(BD133&lt;&gt;"",IF(ISNA(VLOOKUP($N133,OFFSET(選手情報!$A$6:$M$119,BD133,0),13,FALSE)),"","/"&amp;VLOOKUP($N133,OFFSET(選手情報!$A$6:$M$119,BD133,0),13,FALSE)),"")</f>
        <v/>
      </c>
      <c r="BF133" s="127" t="str">
        <f ca="1">IF(BD133&lt;&gt;"",IF(ISNA(VLOOKUP($N133,OFFSET(選手情報!$A$6:$BD$119,BD133,0),56,FALSE)),"",VLOOKUP($N133,OFFSET(選手情報!$A$6:$BD$119,BD133,0),56,FALSE)),"")</f>
        <v/>
      </c>
      <c r="BG133" s="127" t="str">
        <f ca="1">IF(BF133&lt;&gt;"",IF(ISNA(VLOOKUP($N133,OFFSET(選手情報!$A$6:$M$119,BF133,0),13,FALSE)),"","/"&amp;VLOOKUP($N133,OFFSET(選手情報!$A$6:$M$119,BF133,0),13,FALSE)),"")</f>
        <v/>
      </c>
      <c r="BH133" s="127" t="str">
        <f ca="1">IF(BF133&lt;&gt;"",IF(ISNA(VLOOKUP($N133,OFFSET(選手情報!$A$6:$BD$119,BF133,0),56,FALSE)),"",VLOOKUP($N133,OFFSET(選手情報!$A$6:$BD$119,BF133,0),56,FALSE)),"")</f>
        <v/>
      </c>
      <c r="BI133" s="127" t="str">
        <f ca="1">IF(BH133&lt;&gt;"",IF(ISNA(VLOOKUP($N133,OFFSET(選手情報!$A$6:$M$119,BH133,0),13,FALSE)),"","/"&amp;VLOOKUP($N133,OFFSET(選手情報!$A$6:$M$119,BH133,0),13,FALSE)),"")</f>
        <v/>
      </c>
    </row>
    <row r="134" spans="1:61" s="127" customFormat="1" ht="12.6" customHeight="1">
      <c r="A134" s="128" t="str">
        <f>IF(ISNA(VLOOKUP($C$2&amp;N134,選手データ!A:H,3,FALSE)),"",IF(M134&lt;&gt;M133,VLOOKUP($C$2&amp;N134,選手データ!A:H,3,FALSE),""))</f>
        <v/>
      </c>
      <c r="B134" s="129" t="str">
        <f>IF(A134&lt;&gt;"",VLOOKUP($C$2&amp;N134,選手データ!A:H,4,FALSE),"")</f>
        <v/>
      </c>
      <c r="C134" s="129" t="str">
        <f>IF(A134&lt;&gt;"",VLOOKUP($C$2&amp;N134,選手データ!A:H,5,FALSE),"")</f>
        <v/>
      </c>
      <c r="D134" s="129" t="str">
        <f>IF(A134&lt;&gt;"",VLOOKUP($C$2&amp;N134,選手データ!A:H,6,FALSE),"")</f>
        <v/>
      </c>
      <c r="E134" s="129" t="str">
        <f>IF(A134&lt;&gt;"",VLOOKUP($C$2&amp;N134,選手データ!A:H,7,FALSE),"")</f>
        <v/>
      </c>
      <c r="F134" s="130" t="str">
        <f>IF(A134&lt;&gt;"",VLOOKUP($C$2&amp;N134,選手データ!A:H,8,FALSE),"")</f>
        <v/>
      </c>
      <c r="G134" s="130" t="str">
        <f>IF(F134&lt;&gt;"",IF(DATEDIF(F134,設定!$B$12,"Y")&lt;20,"〇",""),"")</f>
        <v/>
      </c>
      <c r="H134" s="131" t="str">
        <f t="shared" ca="1" si="13"/>
        <v/>
      </c>
      <c r="I134" s="132" t="str">
        <f t="shared" ca="1" si="14"/>
        <v/>
      </c>
      <c r="J134" s="131" t="str">
        <f t="shared" ca="1" si="15"/>
        <v/>
      </c>
      <c r="K134" s="130" t="str">
        <f>IF(A134&lt;&gt;"",IF(COUNTIF(リレーチーム情報!$B$17:$B$22,A134&amp;E134)=1,"〇",""),"")</f>
        <v/>
      </c>
      <c r="L134" s="133" t="str">
        <f>IF(A134&lt;&gt;"",IF(COUNTIF(リレーチーム情報!$B$23:$B$28,A134&amp;E134)=1,"〇",""),"")</f>
        <v/>
      </c>
      <c r="M134" s="127">
        <f>IF(学校情報!$A$4&lt;&gt;"",0,IF(S133=0,MAX($M$109:M133)+1,M133))</f>
        <v>0</v>
      </c>
      <c r="N134" s="127" t="str">
        <f>IF(M134&lt;&gt;0,VLOOKUP(M134,選手情報!BI:BJ,2,FALSE),"")</f>
        <v/>
      </c>
      <c r="O134" s="127" t="str">
        <f ca="1">IF(M134&lt;&gt;0,VLOOKUP(N134,OFFSET(選手情報!$A$6:$W$119,IF(M134&lt;&gt;M133,0,R133),0),13,FALSE),"")</f>
        <v/>
      </c>
      <c r="P134" s="127" t="str">
        <f ca="1">IF(M134&lt;&gt;0,VLOOKUP(N134,OFFSET(選手情報!$A$6:$W$119,IF(M134&lt;&gt;M133,0,R133),0),16,FALSE),"")</f>
        <v/>
      </c>
      <c r="Q134" s="127" t="str">
        <f ca="1">IF(M134&lt;&gt;0,VLOOKUP(N134,OFFSET(選手情報!$A$6:$W$119,IF(M134&lt;&gt;M133,0,R133),0),21,FALSE),"")</f>
        <v/>
      </c>
      <c r="R134" s="127">
        <f ca="1">IF(M134&lt;&gt;0,VLOOKUP(N134,OFFSET(選手情報!$A$6:$BD$119,IF(M134&lt;&gt;M133,0,R133),0),56,FALSE),0)</f>
        <v>0</v>
      </c>
      <c r="S134" s="127">
        <f ca="1">IF(M134&lt;&gt;0,IF(ISNA(R134),0,COUNTIF(OFFSET(選手情報!$A$6:$A$119,R134,0),N134)),0)</f>
        <v>0</v>
      </c>
      <c r="U134" s="127">
        <f t="shared" si="16"/>
        <v>0</v>
      </c>
      <c r="V134" s="127">
        <f t="shared" ca="1" si="17"/>
        <v>1</v>
      </c>
      <c r="W134" s="127">
        <f t="shared" ca="1" si="12"/>
        <v>0</v>
      </c>
      <c r="X134" s="127" t="str">
        <f t="shared" ca="1" si="18"/>
        <v/>
      </c>
      <c r="Y134" s="127" t="str">
        <f>IF($A134&lt;&gt;"",IF(ISNA(VLOOKUP($N134,選手情報!$A$6:$M$119,13,FALSE)),"","/"&amp;VLOOKUP($N134,選手情報!$A$6:$M$119,13,FALSE)),"")</f>
        <v/>
      </c>
      <c r="Z134" s="127" t="str">
        <f ca="1">IF(Y134&lt;&gt;"",IF(ISNA(VLOOKUP($N134,OFFSET(選手情報!$A$6:$BD$119,0,0),56,FALSE)),"",VLOOKUP($N134,OFFSET(選手情報!$A$6:$BD$119,0,0),56,FALSE)),"")</f>
        <v/>
      </c>
      <c r="AA134" s="127" t="str">
        <f ca="1">IF(Z134&lt;&gt;"",IF(ISNA(VLOOKUP($N134,OFFSET(選手情報!$A$6:$M$119,Z134,0),13,FALSE)),"","/"&amp;VLOOKUP($N134,OFFSET(選手情報!$A$6:$M$119,Z134,0),13,FALSE)),"")</f>
        <v/>
      </c>
      <c r="AB134" s="127" t="str">
        <f ca="1">IF(Z134&lt;&gt;"",IF(ISNA(VLOOKUP($N134,OFFSET(選手情報!$A$6:$BD$119,Z134,0),56,FALSE)),"",VLOOKUP($N134,OFFSET(選手情報!$A$6:$BD$119,Z134,0),56,FALSE)),"")</f>
        <v/>
      </c>
      <c r="AC134" s="127" t="str">
        <f ca="1">IF(AB134&lt;&gt;"",IF(ISNA(VLOOKUP($N134,OFFSET(選手情報!$A$6:$M$119,AB134,0),13,FALSE)),"","/"&amp;VLOOKUP($N134,OFFSET(選手情報!$A$6:$M$119,AB134,0),13,FALSE)),"")</f>
        <v/>
      </c>
      <c r="AD134" s="127" t="str">
        <f ca="1">IF(AB134&lt;&gt;"",IF(ISNA(VLOOKUP($N134,OFFSET(選手情報!$A$6:$BD$119,AB134,0),56,FALSE)),"",VLOOKUP($N134,OFFSET(選手情報!$A$6:$BD$119,AB134,0),56,FALSE)),"")</f>
        <v/>
      </c>
      <c r="AE134" s="127" t="str">
        <f ca="1">IF(AD134&lt;&gt;"",IF(ISNA(VLOOKUP($N134,OFFSET(選手情報!$A$6:$M$119,AD134,0),13,FALSE)),"","/"&amp;VLOOKUP($N134,OFFSET(選手情報!$A$6:$M$119,AD134,0),13,FALSE)),"")</f>
        <v/>
      </c>
      <c r="AF134" s="127" t="str">
        <f ca="1">IF(AD134&lt;&gt;"",IF(ISNA(VLOOKUP($N134,OFFSET(選手情報!$A$6:$BD$119,AD134,0),56,FALSE)),"",VLOOKUP($N134,OFFSET(選手情報!$A$6:$BD$119,AD134,0),56,FALSE)),"")</f>
        <v/>
      </c>
      <c r="AG134" s="127" t="str">
        <f ca="1">IF(AF134&lt;&gt;"",IF(ISNA(VLOOKUP($N134,OFFSET(選手情報!$A$6:$M$119,AF134,0),13,FALSE)),"","/"&amp;VLOOKUP($N134,OFFSET(選手情報!$A$6:$M$119,AF134,0),13,FALSE)),"")</f>
        <v/>
      </c>
      <c r="AH134" s="127" t="str">
        <f ca="1">IF(AF134&lt;&gt;"",IF(ISNA(VLOOKUP($N134,OFFSET(選手情報!$A$6:$BD$119,AF134,0),56,FALSE)),"",VLOOKUP($N134,OFFSET(選手情報!$A$6:$BD$119,AF134,0),56,FALSE)),"")</f>
        <v/>
      </c>
      <c r="AI134" s="127" t="str">
        <f ca="1">IF(AH134&lt;&gt;"",IF(ISNA(VLOOKUP($N134,OFFSET(選手情報!$A$6:$M$119,AH134,0),13,FALSE)),"","/"&amp;VLOOKUP($N134,OFFSET(選手情報!$A$6:$M$119,AH134,0),13,FALSE)),"")</f>
        <v/>
      </c>
      <c r="AJ134" s="127" t="str">
        <f ca="1">IF(AH134&lt;&gt;"",IF(ISNA(VLOOKUP($N134,OFFSET(選手情報!$A$6:$BD$119,AH134,0),56,FALSE)),"",VLOOKUP($N134,OFFSET(選手情報!$A$6:$BD$119,AH134,0),56,FALSE)),"")</f>
        <v/>
      </c>
      <c r="AK134" s="127" t="str">
        <f ca="1">IF(AJ134&lt;&gt;"",IF(ISNA(VLOOKUP($N134,OFFSET(選手情報!$A$6:$M$119,AJ134,0),13,FALSE)),"","/"&amp;VLOOKUP($N134,OFFSET(選手情報!$A$6:$M$119,AJ134,0),13,FALSE)),"")</f>
        <v/>
      </c>
      <c r="AL134" s="127" t="str">
        <f ca="1">IF(AJ134&lt;&gt;"",IF(ISNA(VLOOKUP($N134,OFFSET(選手情報!$A$6:$BD$119,AJ134,0),56,FALSE)),"",VLOOKUP($N134,OFFSET(選手情報!$A$6:$BD$119,AJ134,0),56,FALSE)),"")</f>
        <v/>
      </c>
      <c r="AM134" s="127" t="str">
        <f ca="1">IF(AL134&lt;&gt;"",IF(ISNA(VLOOKUP($N134,OFFSET(選手情報!$A$6:$M$119,AL134,0),13,FALSE)),"","/"&amp;VLOOKUP($N134,OFFSET(選手情報!$A$6:$M$119,AL134,0),13,FALSE)),"")</f>
        <v/>
      </c>
      <c r="AN134" s="127" t="str">
        <f ca="1">IF(AL134&lt;&gt;"",IF(ISNA(VLOOKUP($N134,OFFSET(選手情報!$A$6:$BD$119,AL134,0),56,FALSE)),"",VLOOKUP($N134,OFFSET(選手情報!$A$6:$BD$119,AL134,0),56,FALSE)),"")</f>
        <v/>
      </c>
      <c r="AO134" s="127" t="str">
        <f ca="1">IF(AN134&lt;&gt;"",IF(ISNA(VLOOKUP($N134,OFFSET(選手情報!$A$6:$M$119,AN134,0),13,FALSE)),"","/"&amp;VLOOKUP($N134,OFFSET(選手情報!$A$6:$M$119,AN134,0),13,FALSE)),"")</f>
        <v/>
      </c>
      <c r="AP134" s="127" t="str">
        <f ca="1">IF(AN134&lt;&gt;"",IF(ISNA(VLOOKUP($N134,OFFSET(選手情報!$A$6:$BD$119,AN134,0),56,FALSE)),"",VLOOKUP($N134,OFFSET(選手情報!$A$6:$BD$119,AN134,0),56,FALSE)),"")</f>
        <v/>
      </c>
      <c r="AQ134" s="127" t="str">
        <f ca="1">IF(AP134&lt;&gt;"",IF(ISNA(VLOOKUP($N134,OFFSET(選手情報!$A$6:$M$119,AP134,0),13,FALSE)),"","/"&amp;VLOOKUP($N134,OFFSET(選手情報!$A$6:$M$119,AP134,0),13,FALSE)),"")</f>
        <v/>
      </c>
      <c r="AR134" s="127" t="str">
        <f ca="1">IF(AP134&lt;&gt;"",IF(ISNA(VLOOKUP($N134,OFFSET(選手情報!$A$6:$BD$119,AP134,0),56,FALSE)),"",VLOOKUP($N134,OFFSET(選手情報!$A$6:$BD$119,AP134,0),56,FALSE)),"")</f>
        <v/>
      </c>
      <c r="AS134" s="127" t="str">
        <f ca="1">IF(AR134&lt;&gt;"",IF(ISNA(VLOOKUP($N134,OFFSET(選手情報!$A$6:$M$119,AR134,0),13,FALSE)),"","/"&amp;VLOOKUP($N134,OFFSET(選手情報!$A$6:$M$119,AR134,0),13,FALSE)),"")</f>
        <v/>
      </c>
      <c r="AT134" s="127" t="str">
        <f ca="1">IF(AR134&lt;&gt;"",IF(ISNA(VLOOKUP($N134,OFFSET(選手情報!$A$6:$BD$119,AR134,0),56,FALSE)),"",VLOOKUP($N134,OFFSET(選手情報!$A$6:$BD$119,AR134,0),56,FALSE)),"")</f>
        <v/>
      </c>
      <c r="AU134" s="127" t="str">
        <f ca="1">IF(AT134&lt;&gt;"",IF(ISNA(VLOOKUP($N134,OFFSET(選手情報!$A$6:$M$119,AT134,0),13,FALSE)),"","/"&amp;VLOOKUP($N134,OFFSET(選手情報!$A$6:$M$119,AT134,0),13,FALSE)),"")</f>
        <v/>
      </c>
      <c r="AV134" s="127" t="str">
        <f ca="1">IF(AT134&lt;&gt;"",IF(ISNA(VLOOKUP($N134,OFFSET(選手情報!$A$6:$BD$119,AT134,0),56,FALSE)),"",VLOOKUP($N134,OFFSET(選手情報!$A$6:$BD$119,AT134,0),56,FALSE)),"")</f>
        <v/>
      </c>
      <c r="AW134" s="127" t="str">
        <f ca="1">IF(AV134&lt;&gt;"",IF(ISNA(VLOOKUP($N134,OFFSET(選手情報!$A$6:$M$119,AV134,0),13,FALSE)),"","/"&amp;VLOOKUP($N134,OFFSET(選手情報!$A$6:$M$119,AV134,0),13,FALSE)),"")</f>
        <v/>
      </c>
      <c r="AX134" s="127" t="str">
        <f ca="1">IF(AV134&lt;&gt;"",IF(ISNA(VLOOKUP($N134,OFFSET(選手情報!$A$6:$BD$119,AV134,0),56,FALSE)),"",VLOOKUP($N134,OFFSET(選手情報!$A$6:$BD$119,AV134,0),56,FALSE)),"")</f>
        <v/>
      </c>
      <c r="AY134" s="127" t="str">
        <f ca="1">IF(AX134&lt;&gt;"",IF(ISNA(VLOOKUP($N134,OFFSET(選手情報!$A$6:$M$119,AX134,0),13,FALSE)),"","/"&amp;VLOOKUP($N134,OFFSET(選手情報!$A$6:$M$119,AX134,0),13,FALSE)),"")</f>
        <v/>
      </c>
      <c r="AZ134" s="127" t="str">
        <f ca="1">IF(AX134&lt;&gt;"",IF(ISNA(VLOOKUP($N134,OFFSET(選手情報!$A$6:$BD$119,AX134,0),56,FALSE)),"",VLOOKUP($N134,OFFSET(選手情報!$A$6:$BD$119,AX134,0),56,FALSE)),"")</f>
        <v/>
      </c>
      <c r="BA134" s="127" t="str">
        <f ca="1">IF(AZ134&lt;&gt;"",IF(ISNA(VLOOKUP($N134,OFFSET(選手情報!$A$6:$M$119,AZ134,0),13,FALSE)),"","/"&amp;VLOOKUP($N134,OFFSET(選手情報!$A$6:$M$119,AZ134,0),13,FALSE)),"")</f>
        <v/>
      </c>
      <c r="BB134" s="127" t="str">
        <f ca="1">IF(AZ134&lt;&gt;"",IF(ISNA(VLOOKUP($N134,OFFSET(選手情報!$A$6:$BD$119,AZ134,0),56,FALSE)),"",VLOOKUP($N134,OFFSET(選手情報!$A$6:$BD$119,AZ134,0),56,FALSE)),"")</f>
        <v/>
      </c>
      <c r="BC134" s="127" t="str">
        <f ca="1">IF(BB134&lt;&gt;"",IF(ISNA(VLOOKUP($N134,OFFSET(選手情報!$A$6:$M$119,BB134,0),13,FALSE)),"","/"&amp;VLOOKUP($N134,OFFSET(選手情報!$A$6:$M$119,BB134,0),13,FALSE)),"")</f>
        <v/>
      </c>
      <c r="BD134" s="127" t="str">
        <f ca="1">IF(BB134&lt;&gt;"",IF(ISNA(VLOOKUP($N134,OFFSET(選手情報!$A$6:$BD$119,BB134,0),56,FALSE)),"",VLOOKUP($N134,OFFSET(選手情報!$A$6:$BD$119,BB134,0),56,FALSE)),"")</f>
        <v/>
      </c>
      <c r="BE134" s="127" t="str">
        <f ca="1">IF(BD134&lt;&gt;"",IF(ISNA(VLOOKUP($N134,OFFSET(選手情報!$A$6:$M$119,BD134,0),13,FALSE)),"","/"&amp;VLOOKUP($N134,OFFSET(選手情報!$A$6:$M$119,BD134,0),13,FALSE)),"")</f>
        <v/>
      </c>
      <c r="BF134" s="127" t="str">
        <f ca="1">IF(BD134&lt;&gt;"",IF(ISNA(VLOOKUP($N134,OFFSET(選手情報!$A$6:$BD$119,BD134,0),56,FALSE)),"",VLOOKUP($N134,OFFSET(選手情報!$A$6:$BD$119,BD134,0),56,FALSE)),"")</f>
        <v/>
      </c>
      <c r="BG134" s="127" t="str">
        <f ca="1">IF(BF134&lt;&gt;"",IF(ISNA(VLOOKUP($N134,OFFSET(選手情報!$A$6:$M$119,BF134,0),13,FALSE)),"","/"&amp;VLOOKUP($N134,OFFSET(選手情報!$A$6:$M$119,BF134,0),13,FALSE)),"")</f>
        <v/>
      </c>
      <c r="BH134" s="127" t="str">
        <f ca="1">IF(BF134&lt;&gt;"",IF(ISNA(VLOOKUP($N134,OFFSET(選手情報!$A$6:$BD$119,BF134,0),56,FALSE)),"",VLOOKUP($N134,OFFSET(選手情報!$A$6:$BD$119,BF134,0),56,FALSE)),"")</f>
        <v/>
      </c>
      <c r="BI134" s="127" t="str">
        <f ca="1">IF(BH134&lt;&gt;"",IF(ISNA(VLOOKUP($N134,OFFSET(選手情報!$A$6:$M$119,BH134,0),13,FALSE)),"","/"&amp;VLOOKUP($N134,OFFSET(選手情報!$A$6:$M$119,BH134,0),13,FALSE)),"")</f>
        <v/>
      </c>
    </row>
    <row r="135" spans="1:61" s="127" customFormat="1" ht="12.6" customHeight="1">
      <c r="A135" s="128" t="str">
        <f>IF(ISNA(VLOOKUP($C$2&amp;N135,選手データ!A:H,3,FALSE)),"",IF(M135&lt;&gt;M134,VLOOKUP($C$2&amp;N135,選手データ!A:H,3,FALSE),""))</f>
        <v/>
      </c>
      <c r="B135" s="129" t="str">
        <f>IF(A135&lt;&gt;"",VLOOKUP($C$2&amp;N135,選手データ!A:H,4,FALSE),"")</f>
        <v/>
      </c>
      <c r="C135" s="129" t="str">
        <f>IF(A135&lt;&gt;"",VLOOKUP($C$2&amp;N135,選手データ!A:H,5,FALSE),"")</f>
        <v/>
      </c>
      <c r="D135" s="129" t="str">
        <f>IF(A135&lt;&gt;"",VLOOKUP($C$2&amp;N135,選手データ!A:H,6,FALSE),"")</f>
        <v/>
      </c>
      <c r="E135" s="129" t="str">
        <f>IF(A135&lt;&gt;"",VLOOKUP($C$2&amp;N135,選手データ!A:H,7,FALSE),"")</f>
        <v/>
      </c>
      <c r="F135" s="130" t="str">
        <f>IF(A135&lt;&gt;"",VLOOKUP($C$2&amp;N135,選手データ!A:H,8,FALSE),"")</f>
        <v/>
      </c>
      <c r="G135" s="130" t="str">
        <f>IF(F135&lt;&gt;"",IF(DATEDIF(F135,設定!$B$12,"Y")&lt;20,"〇",""),"")</f>
        <v/>
      </c>
      <c r="H135" s="131" t="str">
        <f t="shared" ca="1" si="13"/>
        <v/>
      </c>
      <c r="I135" s="132" t="str">
        <f t="shared" ca="1" si="14"/>
        <v/>
      </c>
      <c r="J135" s="131" t="str">
        <f t="shared" ca="1" si="15"/>
        <v/>
      </c>
      <c r="K135" s="130" t="str">
        <f>IF(A135&lt;&gt;"",IF(COUNTIF(リレーチーム情報!$B$17:$B$22,A135&amp;E135)=1,"〇",""),"")</f>
        <v/>
      </c>
      <c r="L135" s="133" t="str">
        <f>IF(A135&lt;&gt;"",IF(COUNTIF(リレーチーム情報!$B$23:$B$28,A135&amp;E135)=1,"〇",""),"")</f>
        <v/>
      </c>
      <c r="M135" s="127">
        <f>IF(学校情報!$A$4&lt;&gt;"",0,IF(S134=0,MAX($M$109:M134)+1,M134))</f>
        <v>0</v>
      </c>
      <c r="N135" s="127" t="str">
        <f>IF(M135&lt;&gt;0,VLOOKUP(M135,選手情報!BI:BJ,2,FALSE),"")</f>
        <v/>
      </c>
      <c r="O135" s="127" t="str">
        <f ca="1">IF(M135&lt;&gt;0,VLOOKUP(N135,OFFSET(選手情報!$A$6:$W$119,IF(M135&lt;&gt;M134,0,R134),0),13,FALSE),"")</f>
        <v/>
      </c>
      <c r="P135" s="127" t="str">
        <f ca="1">IF(M135&lt;&gt;0,VLOOKUP(N135,OFFSET(選手情報!$A$6:$W$119,IF(M135&lt;&gt;M134,0,R134),0),16,FALSE),"")</f>
        <v/>
      </c>
      <c r="Q135" s="127" t="str">
        <f ca="1">IF(M135&lt;&gt;0,VLOOKUP(N135,OFFSET(選手情報!$A$6:$W$119,IF(M135&lt;&gt;M134,0,R134),0),21,FALSE),"")</f>
        <v/>
      </c>
      <c r="R135" s="127">
        <f ca="1">IF(M135&lt;&gt;0,VLOOKUP(N135,OFFSET(選手情報!$A$6:$BD$119,IF(M135&lt;&gt;M134,0,R134),0),56,FALSE),0)</f>
        <v>0</v>
      </c>
      <c r="S135" s="127">
        <f ca="1">IF(M135&lt;&gt;0,IF(ISNA(R135),0,COUNTIF(OFFSET(選手情報!$A$6:$A$119,R135,0),N135)),0)</f>
        <v>0</v>
      </c>
      <c r="U135" s="127">
        <f t="shared" si="16"/>
        <v>0</v>
      </c>
      <c r="V135" s="127">
        <f t="shared" ca="1" si="17"/>
        <v>1</v>
      </c>
      <c r="W135" s="127">
        <f t="shared" ca="1" si="12"/>
        <v>0</v>
      </c>
      <c r="X135" s="127" t="str">
        <f t="shared" ca="1" si="18"/>
        <v/>
      </c>
      <c r="Y135" s="127" t="str">
        <f>IF($A135&lt;&gt;"",IF(ISNA(VLOOKUP($N135,選手情報!$A$6:$M$119,13,FALSE)),"","/"&amp;VLOOKUP($N135,選手情報!$A$6:$M$119,13,FALSE)),"")</f>
        <v/>
      </c>
      <c r="Z135" s="127" t="str">
        <f ca="1">IF(Y135&lt;&gt;"",IF(ISNA(VLOOKUP($N135,OFFSET(選手情報!$A$6:$BD$119,0,0),56,FALSE)),"",VLOOKUP($N135,OFFSET(選手情報!$A$6:$BD$119,0,0),56,FALSE)),"")</f>
        <v/>
      </c>
      <c r="AA135" s="127" t="str">
        <f ca="1">IF(Z135&lt;&gt;"",IF(ISNA(VLOOKUP($N135,OFFSET(選手情報!$A$6:$M$119,Z135,0),13,FALSE)),"","/"&amp;VLOOKUP($N135,OFFSET(選手情報!$A$6:$M$119,Z135,0),13,FALSE)),"")</f>
        <v/>
      </c>
      <c r="AB135" s="127" t="str">
        <f ca="1">IF(Z135&lt;&gt;"",IF(ISNA(VLOOKUP($N135,OFFSET(選手情報!$A$6:$BD$119,Z135,0),56,FALSE)),"",VLOOKUP($N135,OFFSET(選手情報!$A$6:$BD$119,Z135,0),56,FALSE)),"")</f>
        <v/>
      </c>
      <c r="AC135" s="127" t="str">
        <f ca="1">IF(AB135&lt;&gt;"",IF(ISNA(VLOOKUP($N135,OFFSET(選手情報!$A$6:$M$119,AB135,0),13,FALSE)),"","/"&amp;VLOOKUP($N135,OFFSET(選手情報!$A$6:$M$119,AB135,0),13,FALSE)),"")</f>
        <v/>
      </c>
      <c r="AD135" s="127" t="str">
        <f ca="1">IF(AB135&lt;&gt;"",IF(ISNA(VLOOKUP($N135,OFFSET(選手情報!$A$6:$BD$119,AB135,0),56,FALSE)),"",VLOOKUP($N135,OFFSET(選手情報!$A$6:$BD$119,AB135,0),56,FALSE)),"")</f>
        <v/>
      </c>
      <c r="AE135" s="127" t="str">
        <f ca="1">IF(AD135&lt;&gt;"",IF(ISNA(VLOOKUP($N135,OFFSET(選手情報!$A$6:$M$119,AD135,0),13,FALSE)),"","/"&amp;VLOOKUP($N135,OFFSET(選手情報!$A$6:$M$119,AD135,0),13,FALSE)),"")</f>
        <v/>
      </c>
      <c r="AF135" s="127" t="str">
        <f ca="1">IF(AD135&lt;&gt;"",IF(ISNA(VLOOKUP($N135,OFFSET(選手情報!$A$6:$BD$119,AD135,0),56,FALSE)),"",VLOOKUP($N135,OFFSET(選手情報!$A$6:$BD$119,AD135,0),56,FALSE)),"")</f>
        <v/>
      </c>
      <c r="AG135" s="127" t="str">
        <f ca="1">IF(AF135&lt;&gt;"",IF(ISNA(VLOOKUP($N135,OFFSET(選手情報!$A$6:$M$119,AF135,0),13,FALSE)),"","/"&amp;VLOOKUP($N135,OFFSET(選手情報!$A$6:$M$119,AF135,0),13,FALSE)),"")</f>
        <v/>
      </c>
      <c r="AH135" s="127" t="str">
        <f ca="1">IF(AF135&lt;&gt;"",IF(ISNA(VLOOKUP($N135,OFFSET(選手情報!$A$6:$BD$119,AF135,0),56,FALSE)),"",VLOOKUP($N135,OFFSET(選手情報!$A$6:$BD$119,AF135,0),56,FALSE)),"")</f>
        <v/>
      </c>
      <c r="AI135" s="127" t="str">
        <f ca="1">IF(AH135&lt;&gt;"",IF(ISNA(VLOOKUP($N135,OFFSET(選手情報!$A$6:$M$119,AH135,0),13,FALSE)),"","/"&amp;VLOOKUP($N135,OFFSET(選手情報!$A$6:$M$119,AH135,0),13,FALSE)),"")</f>
        <v/>
      </c>
      <c r="AJ135" s="127" t="str">
        <f ca="1">IF(AH135&lt;&gt;"",IF(ISNA(VLOOKUP($N135,OFFSET(選手情報!$A$6:$BD$119,AH135,0),56,FALSE)),"",VLOOKUP($N135,OFFSET(選手情報!$A$6:$BD$119,AH135,0),56,FALSE)),"")</f>
        <v/>
      </c>
      <c r="AK135" s="127" t="str">
        <f ca="1">IF(AJ135&lt;&gt;"",IF(ISNA(VLOOKUP($N135,OFFSET(選手情報!$A$6:$M$119,AJ135,0),13,FALSE)),"","/"&amp;VLOOKUP($N135,OFFSET(選手情報!$A$6:$M$119,AJ135,0),13,FALSE)),"")</f>
        <v/>
      </c>
      <c r="AL135" s="127" t="str">
        <f ca="1">IF(AJ135&lt;&gt;"",IF(ISNA(VLOOKUP($N135,OFFSET(選手情報!$A$6:$BD$119,AJ135,0),56,FALSE)),"",VLOOKUP($N135,OFFSET(選手情報!$A$6:$BD$119,AJ135,0),56,FALSE)),"")</f>
        <v/>
      </c>
      <c r="AM135" s="127" t="str">
        <f ca="1">IF(AL135&lt;&gt;"",IF(ISNA(VLOOKUP($N135,OFFSET(選手情報!$A$6:$M$119,AL135,0),13,FALSE)),"","/"&amp;VLOOKUP($N135,OFFSET(選手情報!$A$6:$M$119,AL135,0),13,FALSE)),"")</f>
        <v/>
      </c>
      <c r="AN135" s="127" t="str">
        <f ca="1">IF(AL135&lt;&gt;"",IF(ISNA(VLOOKUP($N135,OFFSET(選手情報!$A$6:$BD$119,AL135,0),56,FALSE)),"",VLOOKUP($N135,OFFSET(選手情報!$A$6:$BD$119,AL135,0),56,FALSE)),"")</f>
        <v/>
      </c>
      <c r="AO135" s="127" t="str">
        <f ca="1">IF(AN135&lt;&gt;"",IF(ISNA(VLOOKUP($N135,OFFSET(選手情報!$A$6:$M$119,AN135,0),13,FALSE)),"","/"&amp;VLOOKUP($N135,OFFSET(選手情報!$A$6:$M$119,AN135,0),13,FALSE)),"")</f>
        <v/>
      </c>
      <c r="AP135" s="127" t="str">
        <f ca="1">IF(AN135&lt;&gt;"",IF(ISNA(VLOOKUP($N135,OFFSET(選手情報!$A$6:$BD$119,AN135,0),56,FALSE)),"",VLOOKUP($N135,OFFSET(選手情報!$A$6:$BD$119,AN135,0),56,FALSE)),"")</f>
        <v/>
      </c>
      <c r="AQ135" s="127" t="str">
        <f ca="1">IF(AP135&lt;&gt;"",IF(ISNA(VLOOKUP($N135,OFFSET(選手情報!$A$6:$M$119,AP135,0),13,FALSE)),"","/"&amp;VLOOKUP($N135,OFFSET(選手情報!$A$6:$M$119,AP135,0),13,FALSE)),"")</f>
        <v/>
      </c>
      <c r="AR135" s="127" t="str">
        <f ca="1">IF(AP135&lt;&gt;"",IF(ISNA(VLOOKUP($N135,OFFSET(選手情報!$A$6:$BD$119,AP135,0),56,FALSE)),"",VLOOKUP($N135,OFFSET(選手情報!$A$6:$BD$119,AP135,0),56,FALSE)),"")</f>
        <v/>
      </c>
      <c r="AS135" s="127" t="str">
        <f ca="1">IF(AR135&lt;&gt;"",IF(ISNA(VLOOKUP($N135,OFFSET(選手情報!$A$6:$M$119,AR135,0),13,FALSE)),"","/"&amp;VLOOKUP($N135,OFFSET(選手情報!$A$6:$M$119,AR135,0),13,FALSE)),"")</f>
        <v/>
      </c>
      <c r="AT135" s="127" t="str">
        <f ca="1">IF(AR135&lt;&gt;"",IF(ISNA(VLOOKUP($N135,OFFSET(選手情報!$A$6:$BD$119,AR135,0),56,FALSE)),"",VLOOKUP($N135,OFFSET(選手情報!$A$6:$BD$119,AR135,0),56,FALSE)),"")</f>
        <v/>
      </c>
      <c r="AU135" s="127" t="str">
        <f ca="1">IF(AT135&lt;&gt;"",IF(ISNA(VLOOKUP($N135,OFFSET(選手情報!$A$6:$M$119,AT135,0),13,FALSE)),"","/"&amp;VLOOKUP($N135,OFFSET(選手情報!$A$6:$M$119,AT135,0),13,FALSE)),"")</f>
        <v/>
      </c>
      <c r="AV135" s="127" t="str">
        <f ca="1">IF(AT135&lt;&gt;"",IF(ISNA(VLOOKUP($N135,OFFSET(選手情報!$A$6:$BD$119,AT135,0),56,FALSE)),"",VLOOKUP($N135,OFFSET(選手情報!$A$6:$BD$119,AT135,0),56,FALSE)),"")</f>
        <v/>
      </c>
      <c r="AW135" s="127" t="str">
        <f ca="1">IF(AV135&lt;&gt;"",IF(ISNA(VLOOKUP($N135,OFFSET(選手情報!$A$6:$M$119,AV135,0),13,FALSE)),"","/"&amp;VLOOKUP($N135,OFFSET(選手情報!$A$6:$M$119,AV135,0),13,FALSE)),"")</f>
        <v/>
      </c>
      <c r="AX135" s="127" t="str">
        <f ca="1">IF(AV135&lt;&gt;"",IF(ISNA(VLOOKUP($N135,OFFSET(選手情報!$A$6:$BD$119,AV135,0),56,FALSE)),"",VLOOKUP($N135,OFFSET(選手情報!$A$6:$BD$119,AV135,0),56,FALSE)),"")</f>
        <v/>
      </c>
      <c r="AY135" s="127" t="str">
        <f ca="1">IF(AX135&lt;&gt;"",IF(ISNA(VLOOKUP($N135,OFFSET(選手情報!$A$6:$M$119,AX135,0),13,FALSE)),"","/"&amp;VLOOKUP($N135,OFFSET(選手情報!$A$6:$M$119,AX135,0),13,FALSE)),"")</f>
        <v/>
      </c>
      <c r="AZ135" s="127" t="str">
        <f ca="1">IF(AX135&lt;&gt;"",IF(ISNA(VLOOKUP($N135,OFFSET(選手情報!$A$6:$BD$119,AX135,0),56,FALSE)),"",VLOOKUP($N135,OFFSET(選手情報!$A$6:$BD$119,AX135,0),56,FALSE)),"")</f>
        <v/>
      </c>
      <c r="BA135" s="127" t="str">
        <f ca="1">IF(AZ135&lt;&gt;"",IF(ISNA(VLOOKUP($N135,OFFSET(選手情報!$A$6:$M$119,AZ135,0),13,FALSE)),"","/"&amp;VLOOKUP($N135,OFFSET(選手情報!$A$6:$M$119,AZ135,0),13,FALSE)),"")</f>
        <v/>
      </c>
      <c r="BB135" s="127" t="str">
        <f ca="1">IF(AZ135&lt;&gt;"",IF(ISNA(VLOOKUP($N135,OFFSET(選手情報!$A$6:$BD$119,AZ135,0),56,FALSE)),"",VLOOKUP($N135,OFFSET(選手情報!$A$6:$BD$119,AZ135,0),56,FALSE)),"")</f>
        <v/>
      </c>
      <c r="BC135" s="127" t="str">
        <f ca="1">IF(BB135&lt;&gt;"",IF(ISNA(VLOOKUP($N135,OFFSET(選手情報!$A$6:$M$119,BB135,0),13,FALSE)),"","/"&amp;VLOOKUP($N135,OFFSET(選手情報!$A$6:$M$119,BB135,0),13,FALSE)),"")</f>
        <v/>
      </c>
      <c r="BD135" s="127" t="str">
        <f ca="1">IF(BB135&lt;&gt;"",IF(ISNA(VLOOKUP($N135,OFFSET(選手情報!$A$6:$BD$119,BB135,0),56,FALSE)),"",VLOOKUP($N135,OFFSET(選手情報!$A$6:$BD$119,BB135,0),56,FALSE)),"")</f>
        <v/>
      </c>
      <c r="BE135" s="127" t="str">
        <f ca="1">IF(BD135&lt;&gt;"",IF(ISNA(VLOOKUP($N135,OFFSET(選手情報!$A$6:$M$119,BD135,0),13,FALSE)),"","/"&amp;VLOOKUP($N135,OFFSET(選手情報!$A$6:$M$119,BD135,0),13,FALSE)),"")</f>
        <v/>
      </c>
      <c r="BF135" s="127" t="str">
        <f ca="1">IF(BD135&lt;&gt;"",IF(ISNA(VLOOKUP($N135,OFFSET(選手情報!$A$6:$BD$119,BD135,0),56,FALSE)),"",VLOOKUP($N135,OFFSET(選手情報!$A$6:$BD$119,BD135,0),56,FALSE)),"")</f>
        <v/>
      </c>
      <c r="BG135" s="127" t="str">
        <f ca="1">IF(BF135&lt;&gt;"",IF(ISNA(VLOOKUP($N135,OFFSET(選手情報!$A$6:$M$119,BF135,0),13,FALSE)),"","/"&amp;VLOOKUP($N135,OFFSET(選手情報!$A$6:$M$119,BF135,0),13,FALSE)),"")</f>
        <v/>
      </c>
      <c r="BH135" s="127" t="str">
        <f ca="1">IF(BF135&lt;&gt;"",IF(ISNA(VLOOKUP($N135,OFFSET(選手情報!$A$6:$BD$119,BF135,0),56,FALSE)),"",VLOOKUP($N135,OFFSET(選手情報!$A$6:$BD$119,BF135,0),56,FALSE)),"")</f>
        <v/>
      </c>
      <c r="BI135" s="127" t="str">
        <f ca="1">IF(BH135&lt;&gt;"",IF(ISNA(VLOOKUP($N135,OFFSET(選手情報!$A$6:$M$119,BH135,0),13,FALSE)),"","/"&amp;VLOOKUP($N135,OFFSET(選手情報!$A$6:$M$119,BH135,0),13,FALSE)),"")</f>
        <v/>
      </c>
    </row>
    <row r="136" spans="1:61" s="127" customFormat="1" ht="12.6" customHeight="1">
      <c r="A136" s="128" t="str">
        <f>IF(ISNA(VLOOKUP($C$2&amp;N136,選手データ!A:H,3,FALSE)),"",IF(M136&lt;&gt;M135,VLOOKUP($C$2&amp;N136,選手データ!A:H,3,FALSE),""))</f>
        <v/>
      </c>
      <c r="B136" s="129" t="str">
        <f>IF(A136&lt;&gt;"",VLOOKUP($C$2&amp;N136,選手データ!A:H,4,FALSE),"")</f>
        <v/>
      </c>
      <c r="C136" s="129" t="str">
        <f>IF(A136&lt;&gt;"",VLOOKUP($C$2&amp;N136,選手データ!A:H,5,FALSE),"")</f>
        <v/>
      </c>
      <c r="D136" s="129" t="str">
        <f>IF(A136&lt;&gt;"",VLOOKUP($C$2&amp;N136,選手データ!A:H,6,FALSE),"")</f>
        <v/>
      </c>
      <c r="E136" s="129" t="str">
        <f>IF(A136&lt;&gt;"",VLOOKUP($C$2&amp;N136,選手データ!A:H,7,FALSE),"")</f>
        <v/>
      </c>
      <c r="F136" s="130" t="str">
        <f>IF(A136&lt;&gt;"",VLOOKUP($C$2&amp;N136,選手データ!A:H,8,FALSE),"")</f>
        <v/>
      </c>
      <c r="G136" s="130" t="str">
        <f>IF(F136&lt;&gt;"",IF(DATEDIF(F136,設定!$B$12,"Y")&lt;20,"〇",""),"")</f>
        <v/>
      </c>
      <c r="H136" s="131" t="str">
        <f t="shared" ca="1" si="13"/>
        <v/>
      </c>
      <c r="I136" s="132" t="str">
        <f t="shared" ca="1" si="14"/>
        <v/>
      </c>
      <c r="J136" s="131" t="str">
        <f t="shared" ca="1" si="15"/>
        <v/>
      </c>
      <c r="K136" s="130" t="str">
        <f>IF(A136&lt;&gt;"",IF(COUNTIF(リレーチーム情報!$B$17:$B$22,A136&amp;E136)=1,"〇",""),"")</f>
        <v/>
      </c>
      <c r="L136" s="133" t="str">
        <f>IF(A136&lt;&gt;"",IF(COUNTIF(リレーチーム情報!$B$23:$B$28,A136&amp;E136)=1,"〇",""),"")</f>
        <v/>
      </c>
      <c r="M136" s="127">
        <f>IF(学校情報!$A$4&lt;&gt;"",0,IF(S135=0,MAX($M$109:M135)+1,M135))</f>
        <v>0</v>
      </c>
      <c r="N136" s="127" t="str">
        <f>IF(M136&lt;&gt;0,VLOOKUP(M136,選手情報!BI:BJ,2,FALSE),"")</f>
        <v/>
      </c>
      <c r="O136" s="127" t="str">
        <f ca="1">IF(M136&lt;&gt;0,VLOOKUP(N136,OFFSET(選手情報!$A$6:$W$119,IF(M136&lt;&gt;M135,0,R135),0),13,FALSE),"")</f>
        <v/>
      </c>
      <c r="P136" s="127" t="str">
        <f ca="1">IF(M136&lt;&gt;0,VLOOKUP(N136,OFFSET(選手情報!$A$6:$W$119,IF(M136&lt;&gt;M135,0,R135),0),16,FALSE),"")</f>
        <v/>
      </c>
      <c r="Q136" s="127" t="str">
        <f ca="1">IF(M136&lt;&gt;0,VLOOKUP(N136,OFFSET(選手情報!$A$6:$W$119,IF(M136&lt;&gt;M135,0,R135),0),21,FALSE),"")</f>
        <v/>
      </c>
      <c r="R136" s="127">
        <f ca="1">IF(M136&lt;&gt;0,VLOOKUP(N136,OFFSET(選手情報!$A$6:$BD$119,IF(M136&lt;&gt;M135,0,R135),0),56,FALSE),0)</f>
        <v>0</v>
      </c>
      <c r="S136" s="127">
        <f ca="1">IF(M136&lt;&gt;0,IF(ISNA(R136),0,COUNTIF(OFFSET(選手情報!$A$6:$A$119,R136,0),N136)),0)</f>
        <v>0</v>
      </c>
      <c r="U136" s="127">
        <f t="shared" si="16"/>
        <v>0</v>
      </c>
      <c r="V136" s="127">
        <f t="shared" ca="1" si="17"/>
        <v>1</v>
      </c>
      <c r="W136" s="127">
        <f t="shared" ca="1" si="12"/>
        <v>0</v>
      </c>
      <c r="X136" s="127" t="str">
        <f t="shared" ca="1" si="18"/>
        <v/>
      </c>
      <c r="Y136" s="127" t="str">
        <f>IF($A136&lt;&gt;"",IF(ISNA(VLOOKUP($N136,選手情報!$A$6:$M$119,13,FALSE)),"","/"&amp;VLOOKUP($N136,選手情報!$A$6:$M$119,13,FALSE)),"")</f>
        <v/>
      </c>
      <c r="Z136" s="127" t="str">
        <f ca="1">IF(Y136&lt;&gt;"",IF(ISNA(VLOOKUP($N136,OFFSET(選手情報!$A$6:$BD$119,0,0),56,FALSE)),"",VLOOKUP($N136,OFFSET(選手情報!$A$6:$BD$119,0,0),56,FALSE)),"")</f>
        <v/>
      </c>
      <c r="AA136" s="127" t="str">
        <f ca="1">IF(Z136&lt;&gt;"",IF(ISNA(VLOOKUP($N136,OFFSET(選手情報!$A$6:$M$119,Z136,0),13,FALSE)),"","/"&amp;VLOOKUP($N136,OFFSET(選手情報!$A$6:$M$119,Z136,0),13,FALSE)),"")</f>
        <v/>
      </c>
      <c r="AB136" s="127" t="str">
        <f ca="1">IF(Z136&lt;&gt;"",IF(ISNA(VLOOKUP($N136,OFFSET(選手情報!$A$6:$BD$119,Z136,0),56,FALSE)),"",VLOOKUP($N136,OFFSET(選手情報!$A$6:$BD$119,Z136,0),56,FALSE)),"")</f>
        <v/>
      </c>
      <c r="AC136" s="127" t="str">
        <f ca="1">IF(AB136&lt;&gt;"",IF(ISNA(VLOOKUP($N136,OFFSET(選手情報!$A$6:$M$119,AB136,0),13,FALSE)),"","/"&amp;VLOOKUP($N136,OFFSET(選手情報!$A$6:$M$119,AB136,0),13,FALSE)),"")</f>
        <v/>
      </c>
      <c r="AD136" s="127" t="str">
        <f ca="1">IF(AB136&lt;&gt;"",IF(ISNA(VLOOKUP($N136,OFFSET(選手情報!$A$6:$BD$119,AB136,0),56,FALSE)),"",VLOOKUP($N136,OFFSET(選手情報!$A$6:$BD$119,AB136,0),56,FALSE)),"")</f>
        <v/>
      </c>
      <c r="AE136" s="127" t="str">
        <f ca="1">IF(AD136&lt;&gt;"",IF(ISNA(VLOOKUP($N136,OFFSET(選手情報!$A$6:$M$119,AD136,0),13,FALSE)),"","/"&amp;VLOOKUP($N136,OFFSET(選手情報!$A$6:$M$119,AD136,0),13,FALSE)),"")</f>
        <v/>
      </c>
      <c r="AF136" s="127" t="str">
        <f ca="1">IF(AD136&lt;&gt;"",IF(ISNA(VLOOKUP($N136,OFFSET(選手情報!$A$6:$BD$119,AD136,0),56,FALSE)),"",VLOOKUP($N136,OFFSET(選手情報!$A$6:$BD$119,AD136,0),56,FALSE)),"")</f>
        <v/>
      </c>
      <c r="AG136" s="127" t="str">
        <f ca="1">IF(AF136&lt;&gt;"",IF(ISNA(VLOOKUP($N136,OFFSET(選手情報!$A$6:$M$119,AF136,0),13,FALSE)),"","/"&amp;VLOOKUP($N136,OFFSET(選手情報!$A$6:$M$119,AF136,0),13,FALSE)),"")</f>
        <v/>
      </c>
      <c r="AH136" s="127" t="str">
        <f ca="1">IF(AF136&lt;&gt;"",IF(ISNA(VLOOKUP($N136,OFFSET(選手情報!$A$6:$BD$119,AF136,0),56,FALSE)),"",VLOOKUP($N136,OFFSET(選手情報!$A$6:$BD$119,AF136,0),56,FALSE)),"")</f>
        <v/>
      </c>
      <c r="AI136" s="127" t="str">
        <f ca="1">IF(AH136&lt;&gt;"",IF(ISNA(VLOOKUP($N136,OFFSET(選手情報!$A$6:$M$119,AH136,0),13,FALSE)),"","/"&amp;VLOOKUP($N136,OFFSET(選手情報!$A$6:$M$119,AH136,0),13,FALSE)),"")</f>
        <v/>
      </c>
      <c r="AJ136" s="127" t="str">
        <f ca="1">IF(AH136&lt;&gt;"",IF(ISNA(VLOOKUP($N136,OFFSET(選手情報!$A$6:$BD$119,AH136,0),56,FALSE)),"",VLOOKUP($N136,OFFSET(選手情報!$A$6:$BD$119,AH136,0),56,FALSE)),"")</f>
        <v/>
      </c>
      <c r="AK136" s="127" t="str">
        <f ca="1">IF(AJ136&lt;&gt;"",IF(ISNA(VLOOKUP($N136,OFFSET(選手情報!$A$6:$M$119,AJ136,0),13,FALSE)),"","/"&amp;VLOOKUP($N136,OFFSET(選手情報!$A$6:$M$119,AJ136,0),13,FALSE)),"")</f>
        <v/>
      </c>
      <c r="AL136" s="127" t="str">
        <f ca="1">IF(AJ136&lt;&gt;"",IF(ISNA(VLOOKUP($N136,OFFSET(選手情報!$A$6:$BD$119,AJ136,0),56,FALSE)),"",VLOOKUP($N136,OFFSET(選手情報!$A$6:$BD$119,AJ136,0),56,FALSE)),"")</f>
        <v/>
      </c>
      <c r="AM136" s="127" t="str">
        <f ca="1">IF(AL136&lt;&gt;"",IF(ISNA(VLOOKUP($N136,OFFSET(選手情報!$A$6:$M$119,AL136,0),13,FALSE)),"","/"&amp;VLOOKUP($N136,OFFSET(選手情報!$A$6:$M$119,AL136,0),13,FALSE)),"")</f>
        <v/>
      </c>
      <c r="AN136" s="127" t="str">
        <f ca="1">IF(AL136&lt;&gt;"",IF(ISNA(VLOOKUP($N136,OFFSET(選手情報!$A$6:$BD$119,AL136,0),56,FALSE)),"",VLOOKUP($N136,OFFSET(選手情報!$A$6:$BD$119,AL136,0),56,FALSE)),"")</f>
        <v/>
      </c>
      <c r="AO136" s="127" t="str">
        <f ca="1">IF(AN136&lt;&gt;"",IF(ISNA(VLOOKUP($N136,OFFSET(選手情報!$A$6:$M$119,AN136,0),13,FALSE)),"","/"&amp;VLOOKUP($N136,OFFSET(選手情報!$A$6:$M$119,AN136,0),13,FALSE)),"")</f>
        <v/>
      </c>
      <c r="AP136" s="127" t="str">
        <f ca="1">IF(AN136&lt;&gt;"",IF(ISNA(VLOOKUP($N136,OFFSET(選手情報!$A$6:$BD$119,AN136,0),56,FALSE)),"",VLOOKUP($N136,OFFSET(選手情報!$A$6:$BD$119,AN136,0),56,FALSE)),"")</f>
        <v/>
      </c>
      <c r="AQ136" s="127" t="str">
        <f ca="1">IF(AP136&lt;&gt;"",IF(ISNA(VLOOKUP($N136,OFFSET(選手情報!$A$6:$M$119,AP136,0),13,FALSE)),"","/"&amp;VLOOKUP($N136,OFFSET(選手情報!$A$6:$M$119,AP136,0),13,FALSE)),"")</f>
        <v/>
      </c>
      <c r="AR136" s="127" t="str">
        <f ca="1">IF(AP136&lt;&gt;"",IF(ISNA(VLOOKUP($N136,OFFSET(選手情報!$A$6:$BD$119,AP136,0),56,FALSE)),"",VLOOKUP($N136,OFFSET(選手情報!$A$6:$BD$119,AP136,0),56,FALSE)),"")</f>
        <v/>
      </c>
      <c r="AS136" s="127" t="str">
        <f ca="1">IF(AR136&lt;&gt;"",IF(ISNA(VLOOKUP($N136,OFFSET(選手情報!$A$6:$M$119,AR136,0),13,FALSE)),"","/"&amp;VLOOKUP($N136,OFFSET(選手情報!$A$6:$M$119,AR136,0),13,FALSE)),"")</f>
        <v/>
      </c>
      <c r="AT136" s="127" t="str">
        <f ca="1">IF(AR136&lt;&gt;"",IF(ISNA(VLOOKUP($N136,OFFSET(選手情報!$A$6:$BD$119,AR136,0),56,FALSE)),"",VLOOKUP($N136,OFFSET(選手情報!$A$6:$BD$119,AR136,0),56,FALSE)),"")</f>
        <v/>
      </c>
      <c r="AU136" s="127" t="str">
        <f ca="1">IF(AT136&lt;&gt;"",IF(ISNA(VLOOKUP($N136,OFFSET(選手情報!$A$6:$M$119,AT136,0),13,FALSE)),"","/"&amp;VLOOKUP($N136,OFFSET(選手情報!$A$6:$M$119,AT136,0),13,FALSE)),"")</f>
        <v/>
      </c>
      <c r="AV136" s="127" t="str">
        <f ca="1">IF(AT136&lt;&gt;"",IF(ISNA(VLOOKUP($N136,OFFSET(選手情報!$A$6:$BD$119,AT136,0),56,FALSE)),"",VLOOKUP($N136,OFFSET(選手情報!$A$6:$BD$119,AT136,0),56,FALSE)),"")</f>
        <v/>
      </c>
      <c r="AW136" s="127" t="str">
        <f ca="1">IF(AV136&lt;&gt;"",IF(ISNA(VLOOKUP($N136,OFFSET(選手情報!$A$6:$M$119,AV136,0),13,FALSE)),"","/"&amp;VLOOKUP($N136,OFFSET(選手情報!$A$6:$M$119,AV136,0),13,FALSE)),"")</f>
        <v/>
      </c>
      <c r="AX136" s="127" t="str">
        <f ca="1">IF(AV136&lt;&gt;"",IF(ISNA(VLOOKUP($N136,OFFSET(選手情報!$A$6:$BD$119,AV136,0),56,FALSE)),"",VLOOKUP($N136,OFFSET(選手情報!$A$6:$BD$119,AV136,0),56,FALSE)),"")</f>
        <v/>
      </c>
      <c r="AY136" s="127" t="str">
        <f ca="1">IF(AX136&lt;&gt;"",IF(ISNA(VLOOKUP($N136,OFFSET(選手情報!$A$6:$M$119,AX136,0),13,FALSE)),"","/"&amp;VLOOKUP($N136,OFFSET(選手情報!$A$6:$M$119,AX136,0),13,FALSE)),"")</f>
        <v/>
      </c>
      <c r="AZ136" s="127" t="str">
        <f ca="1">IF(AX136&lt;&gt;"",IF(ISNA(VLOOKUP($N136,OFFSET(選手情報!$A$6:$BD$119,AX136,0),56,FALSE)),"",VLOOKUP($N136,OFFSET(選手情報!$A$6:$BD$119,AX136,0),56,FALSE)),"")</f>
        <v/>
      </c>
      <c r="BA136" s="127" t="str">
        <f ca="1">IF(AZ136&lt;&gt;"",IF(ISNA(VLOOKUP($N136,OFFSET(選手情報!$A$6:$M$119,AZ136,0),13,FALSE)),"","/"&amp;VLOOKUP($N136,OFFSET(選手情報!$A$6:$M$119,AZ136,0),13,FALSE)),"")</f>
        <v/>
      </c>
      <c r="BB136" s="127" t="str">
        <f ca="1">IF(AZ136&lt;&gt;"",IF(ISNA(VLOOKUP($N136,OFFSET(選手情報!$A$6:$BD$119,AZ136,0),56,FALSE)),"",VLOOKUP($N136,OFFSET(選手情報!$A$6:$BD$119,AZ136,0),56,FALSE)),"")</f>
        <v/>
      </c>
      <c r="BC136" s="127" t="str">
        <f ca="1">IF(BB136&lt;&gt;"",IF(ISNA(VLOOKUP($N136,OFFSET(選手情報!$A$6:$M$119,BB136,0),13,FALSE)),"","/"&amp;VLOOKUP($N136,OFFSET(選手情報!$A$6:$M$119,BB136,0),13,FALSE)),"")</f>
        <v/>
      </c>
      <c r="BD136" s="127" t="str">
        <f ca="1">IF(BB136&lt;&gt;"",IF(ISNA(VLOOKUP($N136,OFFSET(選手情報!$A$6:$BD$119,BB136,0),56,FALSE)),"",VLOOKUP($N136,OFFSET(選手情報!$A$6:$BD$119,BB136,0),56,FALSE)),"")</f>
        <v/>
      </c>
      <c r="BE136" s="127" t="str">
        <f ca="1">IF(BD136&lt;&gt;"",IF(ISNA(VLOOKUP($N136,OFFSET(選手情報!$A$6:$M$119,BD136,0),13,FALSE)),"","/"&amp;VLOOKUP($N136,OFFSET(選手情報!$A$6:$M$119,BD136,0),13,FALSE)),"")</f>
        <v/>
      </c>
      <c r="BF136" s="127" t="str">
        <f ca="1">IF(BD136&lt;&gt;"",IF(ISNA(VLOOKUP($N136,OFFSET(選手情報!$A$6:$BD$119,BD136,0),56,FALSE)),"",VLOOKUP($N136,OFFSET(選手情報!$A$6:$BD$119,BD136,0),56,FALSE)),"")</f>
        <v/>
      </c>
      <c r="BG136" s="127" t="str">
        <f ca="1">IF(BF136&lt;&gt;"",IF(ISNA(VLOOKUP($N136,OFFSET(選手情報!$A$6:$M$119,BF136,0),13,FALSE)),"","/"&amp;VLOOKUP($N136,OFFSET(選手情報!$A$6:$M$119,BF136,0),13,FALSE)),"")</f>
        <v/>
      </c>
      <c r="BH136" s="127" t="str">
        <f ca="1">IF(BF136&lt;&gt;"",IF(ISNA(VLOOKUP($N136,OFFSET(選手情報!$A$6:$BD$119,BF136,0),56,FALSE)),"",VLOOKUP($N136,OFFSET(選手情報!$A$6:$BD$119,BF136,0),56,FALSE)),"")</f>
        <v/>
      </c>
      <c r="BI136" s="127" t="str">
        <f ca="1">IF(BH136&lt;&gt;"",IF(ISNA(VLOOKUP($N136,OFFSET(選手情報!$A$6:$M$119,BH136,0),13,FALSE)),"","/"&amp;VLOOKUP($N136,OFFSET(選手情報!$A$6:$M$119,BH136,0),13,FALSE)),"")</f>
        <v/>
      </c>
    </row>
    <row r="137" spans="1:61" s="127" customFormat="1" ht="12.6" customHeight="1">
      <c r="A137" s="128" t="str">
        <f>IF(ISNA(VLOOKUP($C$2&amp;N137,選手データ!A:H,3,FALSE)),"",IF(M137&lt;&gt;M136,VLOOKUP($C$2&amp;N137,選手データ!A:H,3,FALSE),""))</f>
        <v/>
      </c>
      <c r="B137" s="129" t="str">
        <f>IF(A137&lt;&gt;"",VLOOKUP($C$2&amp;N137,選手データ!A:H,4,FALSE),"")</f>
        <v/>
      </c>
      <c r="C137" s="129" t="str">
        <f>IF(A137&lt;&gt;"",VLOOKUP($C$2&amp;N137,選手データ!A:H,5,FALSE),"")</f>
        <v/>
      </c>
      <c r="D137" s="129" t="str">
        <f>IF(A137&lt;&gt;"",VLOOKUP($C$2&amp;N137,選手データ!A:H,6,FALSE),"")</f>
        <v/>
      </c>
      <c r="E137" s="129" t="str">
        <f>IF(A137&lt;&gt;"",VLOOKUP($C$2&amp;N137,選手データ!A:H,7,FALSE),"")</f>
        <v/>
      </c>
      <c r="F137" s="130" t="str">
        <f>IF(A137&lt;&gt;"",VLOOKUP($C$2&amp;N137,選手データ!A:H,8,FALSE),"")</f>
        <v/>
      </c>
      <c r="G137" s="130" t="str">
        <f>IF(F137&lt;&gt;"",IF(DATEDIF(F137,設定!$B$12,"Y")&lt;20,"〇",""),"")</f>
        <v/>
      </c>
      <c r="H137" s="131" t="str">
        <f t="shared" ca="1" si="13"/>
        <v/>
      </c>
      <c r="I137" s="132" t="str">
        <f t="shared" ca="1" si="14"/>
        <v/>
      </c>
      <c r="J137" s="131" t="str">
        <f t="shared" ca="1" si="15"/>
        <v/>
      </c>
      <c r="K137" s="130" t="str">
        <f>IF(A137&lt;&gt;"",IF(COUNTIF(リレーチーム情報!$B$17:$B$22,A137&amp;E137)=1,"〇",""),"")</f>
        <v/>
      </c>
      <c r="L137" s="133" t="str">
        <f>IF(A137&lt;&gt;"",IF(COUNTIF(リレーチーム情報!$B$23:$B$28,A137&amp;E137)=1,"〇",""),"")</f>
        <v/>
      </c>
      <c r="M137" s="127">
        <f>IF(学校情報!$A$4&lt;&gt;"",0,IF(S136=0,MAX($M$109:M136)+1,M136))</f>
        <v>0</v>
      </c>
      <c r="N137" s="127" t="str">
        <f>IF(M137&lt;&gt;0,VLOOKUP(M137,選手情報!BI:BJ,2,FALSE),"")</f>
        <v/>
      </c>
      <c r="O137" s="127" t="str">
        <f ca="1">IF(M137&lt;&gt;0,VLOOKUP(N137,OFFSET(選手情報!$A$6:$W$119,IF(M137&lt;&gt;M136,0,R136),0),13,FALSE),"")</f>
        <v/>
      </c>
      <c r="P137" s="127" t="str">
        <f ca="1">IF(M137&lt;&gt;0,VLOOKUP(N137,OFFSET(選手情報!$A$6:$W$119,IF(M137&lt;&gt;M136,0,R136),0),16,FALSE),"")</f>
        <v/>
      </c>
      <c r="Q137" s="127" t="str">
        <f ca="1">IF(M137&lt;&gt;0,VLOOKUP(N137,OFFSET(選手情報!$A$6:$W$119,IF(M137&lt;&gt;M136,0,R136),0),21,FALSE),"")</f>
        <v/>
      </c>
      <c r="R137" s="127">
        <f ca="1">IF(M137&lt;&gt;0,VLOOKUP(N137,OFFSET(選手情報!$A$6:$BD$119,IF(M137&lt;&gt;M136,0,R136),0),56,FALSE),0)</f>
        <v>0</v>
      </c>
      <c r="S137" s="127">
        <f ca="1">IF(M137&lt;&gt;0,IF(ISNA(R137),0,COUNTIF(OFFSET(選手情報!$A$6:$A$119,R137,0),N137)),0)</f>
        <v>0</v>
      </c>
      <c r="U137" s="127">
        <f t="shared" si="16"/>
        <v>0</v>
      </c>
      <c r="V137" s="127">
        <f t="shared" ca="1" si="17"/>
        <v>1</v>
      </c>
      <c r="W137" s="127">
        <f t="shared" ca="1" si="12"/>
        <v>0</v>
      </c>
      <c r="X137" s="127" t="str">
        <f t="shared" ca="1" si="18"/>
        <v/>
      </c>
      <c r="Y137" s="127" t="str">
        <f>IF($A137&lt;&gt;"",IF(ISNA(VLOOKUP($N137,選手情報!$A$6:$M$119,13,FALSE)),"","/"&amp;VLOOKUP($N137,選手情報!$A$6:$M$119,13,FALSE)),"")</f>
        <v/>
      </c>
      <c r="Z137" s="127" t="str">
        <f ca="1">IF(Y137&lt;&gt;"",IF(ISNA(VLOOKUP($N137,OFFSET(選手情報!$A$6:$BD$119,0,0),56,FALSE)),"",VLOOKUP($N137,OFFSET(選手情報!$A$6:$BD$119,0,0),56,FALSE)),"")</f>
        <v/>
      </c>
      <c r="AA137" s="127" t="str">
        <f ca="1">IF(Z137&lt;&gt;"",IF(ISNA(VLOOKUP($N137,OFFSET(選手情報!$A$6:$M$119,Z137,0),13,FALSE)),"","/"&amp;VLOOKUP($N137,OFFSET(選手情報!$A$6:$M$119,Z137,0),13,FALSE)),"")</f>
        <v/>
      </c>
      <c r="AB137" s="127" t="str">
        <f ca="1">IF(Z137&lt;&gt;"",IF(ISNA(VLOOKUP($N137,OFFSET(選手情報!$A$6:$BD$119,Z137,0),56,FALSE)),"",VLOOKUP($N137,OFFSET(選手情報!$A$6:$BD$119,Z137,0),56,FALSE)),"")</f>
        <v/>
      </c>
      <c r="AC137" s="127" t="str">
        <f ca="1">IF(AB137&lt;&gt;"",IF(ISNA(VLOOKUP($N137,OFFSET(選手情報!$A$6:$M$119,AB137,0),13,FALSE)),"","/"&amp;VLOOKUP($N137,OFFSET(選手情報!$A$6:$M$119,AB137,0),13,FALSE)),"")</f>
        <v/>
      </c>
      <c r="AD137" s="127" t="str">
        <f ca="1">IF(AB137&lt;&gt;"",IF(ISNA(VLOOKUP($N137,OFFSET(選手情報!$A$6:$BD$119,AB137,0),56,FALSE)),"",VLOOKUP($N137,OFFSET(選手情報!$A$6:$BD$119,AB137,0),56,FALSE)),"")</f>
        <v/>
      </c>
      <c r="AE137" s="127" t="str">
        <f ca="1">IF(AD137&lt;&gt;"",IF(ISNA(VLOOKUP($N137,OFFSET(選手情報!$A$6:$M$119,AD137,0),13,FALSE)),"","/"&amp;VLOOKUP($N137,OFFSET(選手情報!$A$6:$M$119,AD137,0),13,FALSE)),"")</f>
        <v/>
      </c>
      <c r="AF137" s="127" t="str">
        <f ca="1">IF(AD137&lt;&gt;"",IF(ISNA(VLOOKUP($N137,OFFSET(選手情報!$A$6:$BD$119,AD137,0),56,FALSE)),"",VLOOKUP($N137,OFFSET(選手情報!$A$6:$BD$119,AD137,0),56,FALSE)),"")</f>
        <v/>
      </c>
      <c r="AG137" s="127" t="str">
        <f ca="1">IF(AF137&lt;&gt;"",IF(ISNA(VLOOKUP($N137,OFFSET(選手情報!$A$6:$M$119,AF137,0),13,FALSE)),"","/"&amp;VLOOKUP($N137,OFFSET(選手情報!$A$6:$M$119,AF137,0),13,FALSE)),"")</f>
        <v/>
      </c>
      <c r="AH137" s="127" t="str">
        <f ca="1">IF(AF137&lt;&gt;"",IF(ISNA(VLOOKUP($N137,OFFSET(選手情報!$A$6:$BD$119,AF137,0),56,FALSE)),"",VLOOKUP($N137,OFFSET(選手情報!$A$6:$BD$119,AF137,0),56,FALSE)),"")</f>
        <v/>
      </c>
      <c r="AI137" s="127" t="str">
        <f ca="1">IF(AH137&lt;&gt;"",IF(ISNA(VLOOKUP($N137,OFFSET(選手情報!$A$6:$M$119,AH137,0),13,FALSE)),"","/"&amp;VLOOKUP($N137,OFFSET(選手情報!$A$6:$M$119,AH137,0),13,FALSE)),"")</f>
        <v/>
      </c>
      <c r="AJ137" s="127" t="str">
        <f ca="1">IF(AH137&lt;&gt;"",IF(ISNA(VLOOKUP($N137,OFFSET(選手情報!$A$6:$BD$119,AH137,0),56,FALSE)),"",VLOOKUP($N137,OFFSET(選手情報!$A$6:$BD$119,AH137,0),56,FALSE)),"")</f>
        <v/>
      </c>
      <c r="AK137" s="127" t="str">
        <f ca="1">IF(AJ137&lt;&gt;"",IF(ISNA(VLOOKUP($N137,OFFSET(選手情報!$A$6:$M$119,AJ137,0),13,FALSE)),"","/"&amp;VLOOKUP($N137,OFFSET(選手情報!$A$6:$M$119,AJ137,0),13,FALSE)),"")</f>
        <v/>
      </c>
      <c r="AL137" s="127" t="str">
        <f ca="1">IF(AJ137&lt;&gt;"",IF(ISNA(VLOOKUP($N137,OFFSET(選手情報!$A$6:$BD$119,AJ137,0),56,FALSE)),"",VLOOKUP($N137,OFFSET(選手情報!$A$6:$BD$119,AJ137,0),56,FALSE)),"")</f>
        <v/>
      </c>
      <c r="AM137" s="127" t="str">
        <f ca="1">IF(AL137&lt;&gt;"",IF(ISNA(VLOOKUP($N137,OFFSET(選手情報!$A$6:$M$119,AL137,0),13,FALSE)),"","/"&amp;VLOOKUP($N137,OFFSET(選手情報!$A$6:$M$119,AL137,0),13,FALSE)),"")</f>
        <v/>
      </c>
      <c r="AN137" s="127" t="str">
        <f ca="1">IF(AL137&lt;&gt;"",IF(ISNA(VLOOKUP($N137,OFFSET(選手情報!$A$6:$BD$119,AL137,0),56,FALSE)),"",VLOOKUP($N137,OFFSET(選手情報!$A$6:$BD$119,AL137,0),56,FALSE)),"")</f>
        <v/>
      </c>
      <c r="AO137" s="127" t="str">
        <f ca="1">IF(AN137&lt;&gt;"",IF(ISNA(VLOOKUP($N137,OFFSET(選手情報!$A$6:$M$119,AN137,0),13,FALSE)),"","/"&amp;VLOOKUP($N137,OFFSET(選手情報!$A$6:$M$119,AN137,0),13,FALSE)),"")</f>
        <v/>
      </c>
      <c r="AP137" s="127" t="str">
        <f ca="1">IF(AN137&lt;&gt;"",IF(ISNA(VLOOKUP($N137,OFFSET(選手情報!$A$6:$BD$119,AN137,0),56,FALSE)),"",VLOOKUP($N137,OFFSET(選手情報!$A$6:$BD$119,AN137,0),56,FALSE)),"")</f>
        <v/>
      </c>
      <c r="AQ137" s="127" t="str">
        <f ca="1">IF(AP137&lt;&gt;"",IF(ISNA(VLOOKUP($N137,OFFSET(選手情報!$A$6:$M$119,AP137,0),13,FALSE)),"","/"&amp;VLOOKUP($N137,OFFSET(選手情報!$A$6:$M$119,AP137,0),13,FALSE)),"")</f>
        <v/>
      </c>
      <c r="AR137" s="127" t="str">
        <f ca="1">IF(AP137&lt;&gt;"",IF(ISNA(VLOOKUP($N137,OFFSET(選手情報!$A$6:$BD$119,AP137,0),56,FALSE)),"",VLOOKUP($N137,OFFSET(選手情報!$A$6:$BD$119,AP137,0),56,FALSE)),"")</f>
        <v/>
      </c>
      <c r="AS137" s="127" t="str">
        <f ca="1">IF(AR137&lt;&gt;"",IF(ISNA(VLOOKUP($N137,OFFSET(選手情報!$A$6:$M$119,AR137,0),13,FALSE)),"","/"&amp;VLOOKUP($N137,OFFSET(選手情報!$A$6:$M$119,AR137,0),13,FALSE)),"")</f>
        <v/>
      </c>
      <c r="AT137" s="127" t="str">
        <f ca="1">IF(AR137&lt;&gt;"",IF(ISNA(VLOOKUP($N137,OFFSET(選手情報!$A$6:$BD$119,AR137,0),56,FALSE)),"",VLOOKUP($N137,OFFSET(選手情報!$A$6:$BD$119,AR137,0),56,FALSE)),"")</f>
        <v/>
      </c>
      <c r="AU137" s="127" t="str">
        <f ca="1">IF(AT137&lt;&gt;"",IF(ISNA(VLOOKUP($N137,OFFSET(選手情報!$A$6:$M$119,AT137,0),13,FALSE)),"","/"&amp;VLOOKUP($N137,OFFSET(選手情報!$A$6:$M$119,AT137,0),13,FALSE)),"")</f>
        <v/>
      </c>
      <c r="AV137" s="127" t="str">
        <f ca="1">IF(AT137&lt;&gt;"",IF(ISNA(VLOOKUP($N137,OFFSET(選手情報!$A$6:$BD$119,AT137,0),56,FALSE)),"",VLOOKUP($N137,OFFSET(選手情報!$A$6:$BD$119,AT137,0),56,FALSE)),"")</f>
        <v/>
      </c>
      <c r="AW137" s="127" t="str">
        <f ca="1">IF(AV137&lt;&gt;"",IF(ISNA(VLOOKUP($N137,OFFSET(選手情報!$A$6:$M$119,AV137,0),13,FALSE)),"","/"&amp;VLOOKUP($N137,OFFSET(選手情報!$A$6:$M$119,AV137,0),13,FALSE)),"")</f>
        <v/>
      </c>
      <c r="AX137" s="127" t="str">
        <f ca="1">IF(AV137&lt;&gt;"",IF(ISNA(VLOOKUP($N137,OFFSET(選手情報!$A$6:$BD$119,AV137,0),56,FALSE)),"",VLOOKUP($N137,OFFSET(選手情報!$A$6:$BD$119,AV137,0),56,FALSE)),"")</f>
        <v/>
      </c>
      <c r="AY137" s="127" t="str">
        <f ca="1">IF(AX137&lt;&gt;"",IF(ISNA(VLOOKUP($N137,OFFSET(選手情報!$A$6:$M$119,AX137,0),13,FALSE)),"","/"&amp;VLOOKUP($N137,OFFSET(選手情報!$A$6:$M$119,AX137,0),13,FALSE)),"")</f>
        <v/>
      </c>
      <c r="AZ137" s="127" t="str">
        <f ca="1">IF(AX137&lt;&gt;"",IF(ISNA(VLOOKUP($N137,OFFSET(選手情報!$A$6:$BD$119,AX137,0),56,FALSE)),"",VLOOKUP($N137,OFFSET(選手情報!$A$6:$BD$119,AX137,0),56,FALSE)),"")</f>
        <v/>
      </c>
      <c r="BA137" s="127" t="str">
        <f ca="1">IF(AZ137&lt;&gt;"",IF(ISNA(VLOOKUP($N137,OFFSET(選手情報!$A$6:$M$119,AZ137,0),13,FALSE)),"","/"&amp;VLOOKUP($N137,OFFSET(選手情報!$A$6:$M$119,AZ137,0),13,FALSE)),"")</f>
        <v/>
      </c>
      <c r="BB137" s="127" t="str">
        <f ca="1">IF(AZ137&lt;&gt;"",IF(ISNA(VLOOKUP($N137,OFFSET(選手情報!$A$6:$BD$119,AZ137,0),56,FALSE)),"",VLOOKUP($N137,OFFSET(選手情報!$A$6:$BD$119,AZ137,0),56,FALSE)),"")</f>
        <v/>
      </c>
      <c r="BC137" s="127" t="str">
        <f ca="1">IF(BB137&lt;&gt;"",IF(ISNA(VLOOKUP($N137,OFFSET(選手情報!$A$6:$M$119,BB137,0),13,FALSE)),"","/"&amp;VLOOKUP($N137,OFFSET(選手情報!$A$6:$M$119,BB137,0),13,FALSE)),"")</f>
        <v/>
      </c>
      <c r="BD137" s="127" t="str">
        <f ca="1">IF(BB137&lt;&gt;"",IF(ISNA(VLOOKUP($N137,OFFSET(選手情報!$A$6:$BD$119,BB137,0),56,FALSE)),"",VLOOKUP($N137,OFFSET(選手情報!$A$6:$BD$119,BB137,0),56,FALSE)),"")</f>
        <v/>
      </c>
      <c r="BE137" s="127" t="str">
        <f ca="1">IF(BD137&lt;&gt;"",IF(ISNA(VLOOKUP($N137,OFFSET(選手情報!$A$6:$M$119,BD137,0),13,FALSE)),"","/"&amp;VLOOKUP($N137,OFFSET(選手情報!$A$6:$M$119,BD137,0),13,FALSE)),"")</f>
        <v/>
      </c>
      <c r="BF137" s="127" t="str">
        <f ca="1">IF(BD137&lt;&gt;"",IF(ISNA(VLOOKUP($N137,OFFSET(選手情報!$A$6:$BD$119,BD137,0),56,FALSE)),"",VLOOKUP($N137,OFFSET(選手情報!$A$6:$BD$119,BD137,0),56,FALSE)),"")</f>
        <v/>
      </c>
      <c r="BG137" s="127" t="str">
        <f ca="1">IF(BF137&lt;&gt;"",IF(ISNA(VLOOKUP($N137,OFFSET(選手情報!$A$6:$M$119,BF137,0),13,FALSE)),"","/"&amp;VLOOKUP($N137,OFFSET(選手情報!$A$6:$M$119,BF137,0),13,FALSE)),"")</f>
        <v/>
      </c>
      <c r="BH137" s="127" t="str">
        <f ca="1">IF(BF137&lt;&gt;"",IF(ISNA(VLOOKUP($N137,OFFSET(選手情報!$A$6:$BD$119,BF137,0),56,FALSE)),"",VLOOKUP($N137,OFFSET(選手情報!$A$6:$BD$119,BF137,0),56,FALSE)),"")</f>
        <v/>
      </c>
      <c r="BI137" s="127" t="str">
        <f ca="1">IF(BH137&lt;&gt;"",IF(ISNA(VLOOKUP($N137,OFFSET(選手情報!$A$6:$M$119,BH137,0),13,FALSE)),"","/"&amp;VLOOKUP($N137,OFFSET(選手情報!$A$6:$M$119,BH137,0),13,FALSE)),"")</f>
        <v/>
      </c>
    </row>
    <row r="138" spans="1:61" s="127" customFormat="1" ht="12.6" customHeight="1">
      <c r="A138" s="128" t="str">
        <f>IF(ISNA(VLOOKUP($C$2&amp;N138,選手データ!A:H,3,FALSE)),"",IF(M138&lt;&gt;M137,VLOOKUP($C$2&amp;N138,選手データ!A:H,3,FALSE),""))</f>
        <v/>
      </c>
      <c r="B138" s="129" t="str">
        <f>IF(A138&lt;&gt;"",VLOOKUP($C$2&amp;N138,選手データ!A:H,4,FALSE),"")</f>
        <v/>
      </c>
      <c r="C138" s="129" t="str">
        <f>IF(A138&lt;&gt;"",VLOOKUP($C$2&amp;N138,選手データ!A:H,5,FALSE),"")</f>
        <v/>
      </c>
      <c r="D138" s="129" t="str">
        <f>IF(A138&lt;&gt;"",VLOOKUP($C$2&amp;N138,選手データ!A:H,6,FALSE),"")</f>
        <v/>
      </c>
      <c r="E138" s="129" t="str">
        <f>IF(A138&lt;&gt;"",VLOOKUP($C$2&amp;N138,選手データ!A:H,7,FALSE),"")</f>
        <v/>
      </c>
      <c r="F138" s="130" t="str">
        <f>IF(A138&lt;&gt;"",VLOOKUP($C$2&amp;N138,選手データ!A:H,8,FALSE),"")</f>
        <v/>
      </c>
      <c r="G138" s="130" t="str">
        <f>IF(F138&lt;&gt;"",IF(DATEDIF(F138,設定!$B$12,"Y")&lt;20,"〇",""),"")</f>
        <v/>
      </c>
      <c r="H138" s="131" t="str">
        <f t="shared" ca="1" si="13"/>
        <v/>
      </c>
      <c r="I138" s="132" t="str">
        <f t="shared" ca="1" si="14"/>
        <v/>
      </c>
      <c r="J138" s="131" t="str">
        <f t="shared" ca="1" si="15"/>
        <v/>
      </c>
      <c r="K138" s="130" t="str">
        <f>IF(A138&lt;&gt;"",IF(COUNTIF(リレーチーム情報!$B$17:$B$22,A138&amp;E138)=1,"〇",""),"")</f>
        <v/>
      </c>
      <c r="L138" s="133" t="str">
        <f>IF(A138&lt;&gt;"",IF(COUNTIF(リレーチーム情報!$B$23:$B$28,A138&amp;E138)=1,"〇",""),"")</f>
        <v/>
      </c>
      <c r="M138" s="127">
        <f>IF(学校情報!$A$4&lt;&gt;"",0,IF(S137=0,MAX($M$109:M137)+1,M137))</f>
        <v>0</v>
      </c>
      <c r="N138" s="127" t="str">
        <f>IF(M138&lt;&gt;0,VLOOKUP(M138,選手情報!BI:BJ,2,FALSE),"")</f>
        <v/>
      </c>
      <c r="O138" s="127" t="str">
        <f ca="1">IF(M138&lt;&gt;0,VLOOKUP(N138,OFFSET(選手情報!$A$6:$W$119,IF(M138&lt;&gt;M137,0,R137),0),13,FALSE),"")</f>
        <v/>
      </c>
      <c r="P138" s="127" t="str">
        <f ca="1">IF(M138&lt;&gt;0,VLOOKUP(N138,OFFSET(選手情報!$A$6:$W$119,IF(M138&lt;&gt;M137,0,R137),0),16,FALSE),"")</f>
        <v/>
      </c>
      <c r="Q138" s="127" t="str">
        <f ca="1">IF(M138&lt;&gt;0,VLOOKUP(N138,OFFSET(選手情報!$A$6:$W$119,IF(M138&lt;&gt;M137,0,R137),0),21,FALSE),"")</f>
        <v/>
      </c>
      <c r="R138" s="127">
        <f ca="1">IF(M138&lt;&gt;0,VLOOKUP(N138,OFFSET(選手情報!$A$6:$BD$119,IF(M138&lt;&gt;M137,0,R137),0),56,FALSE),0)</f>
        <v>0</v>
      </c>
      <c r="S138" s="127">
        <f ca="1">IF(M138&lt;&gt;0,IF(ISNA(R138),0,COUNTIF(OFFSET(選手情報!$A$6:$A$119,R138,0),N138)),0)</f>
        <v>0</v>
      </c>
      <c r="U138" s="127">
        <f t="shared" si="16"/>
        <v>0</v>
      </c>
      <c r="V138" s="127">
        <f t="shared" ca="1" si="17"/>
        <v>1</v>
      </c>
      <c r="W138" s="127">
        <f t="shared" ca="1" si="12"/>
        <v>0</v>
      </c>
      <c r="X138" s="127" t="str">
        <f t="shared" ca="1" si="18"/>
        <v/>
      </c>
      <c r="Y138" s="127" t="str">
        <f>IF($A138&lt;&gt;"",IF(ISNA(VLOOKUP($N138,選手情報!$A$6:$M$119,13,FALSE)),"","/"&amp;VLOOKUP($N138,選手情報!$A$6:$M$119,13,FALSE)),"")</f>
        <v/>
      </c>
      <c r="Z138" s="127" t="str">
        <f ca="1">IF(Y138&lt;&gt;"",IF(ISNA(VLOOKUP($N138,OFFSET(選手情報!$A$6:$BD$119,0,0),56,FALSE)),"",VLOOKUP($N138,OFFSET(選手情報!$A$6:$BD$119,0,0),56,FALSE)),"")</f>
        <v/>
      </c>
      <c r="AA138" s="127" t="str">
        <f ca="1">IF(Z138&lt;&gt;"",IF(ISNA(VLOOKUP($N138,OFFSET(選手情報!$A$6:$M$119,Z138,0),13,FALSE)),"","/"&amp;VLOOKUP($N138,OFFSET(選手情報!$A$6:$M$119,Z138,0),13,FALSE)),"")</f>
        <v/>
      </c>
      <c r="AB138" s="127" t="str">
        <f ca="1">IF(Z138&lt;&gt;"",IF(ISNA(VLOOKUP($N138,OFFSET(選手情報!$A$6:$BD$119,Z138,0),56,FALSE)),"",VLOOKUP($N138,OFFSET(選手情報!$A$6:$BD$119,Z138,0),56,FALSE)),"")</f>
        <v/>
      </c>
      <c r="AC138" s="127" t="str">
        <f ca="1">IF(AB138&lt;&gt;"",IF(ISNA(VLOOKUP($N138,OFFSET(選手情報!$A$6:$M$119,AB138,0),13,FALSE)),"","/"&amp;VLOOKUP($N138,OFFSET(選手情報!$A$6:$M$119,AB138,0),13,FALSE)),"")</f>
        <v/>
      </c>
      <c r="AD138" s="127" t="str">
        <f ca="1">IF(AB138&lt;&gt;"",IF(ISNA(VLOOKUP($N138,OFFSET(選手情報!$A$6:$BD$119,AB138,0),56,FALSE)),"",VLOOKUP($N138,OFFSET(選手情報!$A$6:$BD$119,AB138,0),56,FALSE)),"")</f>
        <v/>
      </c>
      <c r="AE138" s="127" t="str">
        <f ca="1">IF(AD138&lt;&gt;"",IF(ISNA(VLOOKUP($N138,OFFSET(選手情報!$A$6:$M$119,AD138,0),13,FALSE)),"","/"&amp;VLOOKUP($N138,OFFSET(選手情報!$A$6:$M$119,AD138,0),13,FALSE)),"")</f>
        <v/>
      </c>
      <c r="AF138" s="127" t="str">
        <f ca="1">IF(AD138&lt;&gt;"",IF(ISNA(VLOOKUP($N138,OFFSET(選手情報!$A$6:$BD$119,AD138,0),56,FALSE)),"",VLOOKUP($N138,OFFSET(選手情報!$A$6:$BD$119,AD138,0),56,FALSE)),"")</f>
        <v/>
      </c>
      <c r="AG138" s="127" t="str">
        <f ca="1">IF(AF138&lt;&gt;"",IF(ISNA(VLOOKUP($N138,OFFSET(選手情報!$A$6:$M$119,AF138,0),13,FALSE)),"","/"&amp;VLOOKUP($N138,OFFSET(選手情報!$A$6:$M$119,AF138,0),13,FALSE)),"")</f>
        <v/>
      </c>
      <c r="AH138" s="127" t="str">
        <f ca="1">IF(AF138&lt;&gt;"",IF(ISNA(VLOOKUP($N138,OFFSET(選手情報!$A$6:$BD$119,AF138,0),56,FALSE)),"",VLOOKUP($N138,OFFSET(選手情報!$A$6:$BD$119,AF138,0),56,FALSE)),"")</f>
        <v/>
      </c>
      <c r="AI138" s="127" t="str">
        <f ca="1">IF(AH138&lt;&gt;"",IF(ISNA(VLOOKUP($N138,OFFSET(選手情報!$A$6:$M$119,AH138,0),13,FALSE)),"","/"&amp;VLOOKUP($N138,OFFSET(選手情報!$A$6:$M$119,AH138,0),13,FALSE)),"")</f>
        <v/>
      </c>
      <c r="AJ138" s="127" t="str">
        <f ca="1">IF(AH138&lt;&gt;"",IF(ISNA(VLOOKUP($N138,OFFSET(選手情報!$A$6:$BD$119,AH138,0),56,FALSE)),"",VLOOKUP($N138,OFFSET(選手情報!$A$6:$BD$119,AH138,0),56,FALSE)),"")</f>
        <v/>
      </c>
      <c r="AK138" s="127" t="str">
        <f ca="1">IF(AJ138&lt;&gt;"",IF(ISNA(VLOOKUP($N138,OFFSET(選手情報!$A$6:$M$119,AJ138,0),13,FALSE)),"","/"&amp;VLOOKUP($N138,OFFSET(選手情報!$A$6:$M$119,AJ138,0),13,FALSE)),"")</f>
        <v/>
      </c>
      <c r="AL138" s="127" t="str">
        <f ca="1">IF(AJ138&lt;&gt;"",IF(ISNA(VLOOKUP($N138,OFFSET(選手情報!$A$6:$BD$119,AJ138,0),56,FALSE)),"",VLOOKUP($N138,OFFSET(選手情報!$A$6:$BD$119,AJ138,0),56,FALSE)),"")</f>
        <v/>
      </c>
      <c r="AM138" s="127" t="str">
        <f ca="1">IF(AL138&lt;&gt;"",IF(ISNA(VLOOKUP($N138,OFFSET(選手情報!$A$6:$M$119,AL138,0),13,FALSE)),"","/"&amp;VLOOKUP($N138,OFFSET(選手情報!$A$6:$M$119,AL138,0),13,FALSE)),"")</f>
        <v/>
      </c>
      <c r="AN138" s="127" t="str">
        <f ca="1">IF(AL138&lt;&gt;"",IF(ISNA(VLOOKUP($N138,OFFSET(選手情報!$A$6:$BD$119,AL138,0),56,FALSE)),"",VLOOKUP($N138,OFFSET(選手情報!$A$6:$BD$119,AL138,0),56,FALSE)),"")</f>
        <v/>
      </c>
      <c r="AO138" s="127" t="str">
        <f ca="1">IF(AN138&lt;&gt;"",IF(ISNA(VLOOKUP($N138,OFFSET(選手情報!$A$6:$M$119,AN138,0),13,FALSE)),"","/"&amp;VLOOKUP($N138,OFFSET(選手情報!$A$6:$M$119,AN138,0),13,FALSE)),"")</f>
        <v/>
      </c>
      <c r="AP138" s="127" t="str">
        <f ca="1">IF(AN138&lt;&gt;"",IF(ISNA(VLOOKUP($N138,OFFSET(選手情報!$A$6:$BD$119,AN138,0),56,FALSE)),"",VLOOKUP($N138,OFFSET(選手情報!$A$6:$BD$119,AN138,0),56,FALSE)),"")</f>
        <v/>
      </c>
      <c r="AQ138" s="127" t="str">
        <f ca="1">IF(AP138&lt;&gt;"",IF(ISNA(VLOOKUP($N138,OFFSET(選手情報!$A$6:$M$119,AP138,0),13,FALSE)),"","/"&amp;VLOOKUP($N138,OFFSET(選手情報!$A$6:$M$119,AP138,0),13,FALSE)),"")</f>
        <v/>
      </c>
      <c r="AR138" s="127" t="str">
        <f ca="1">IF(AP138&lt;&gt;"",IF(ISNA(VLOOKUP($N138,OFFSET(選手情報!$A$6:$BD$119,AP138,0),56,FALSE)),"",VLOOKUP($N138,OFFSET(選手情報!$A$6:$BD$119,AP138,0),56,FALSE)),"")</f>
        <v/>
      </c>
      <c r="AS138" s="127" t="str">
        <f ca="1">IF(AR138&lt;&gt;"",IF(ISNA(VLOOKUP($N138,OFFSET(選手情報!$A$6:$M$119,AR138,0),13,FALSE)),"","/"&amp;VLOOKUP($N138,OFFSET(選手情報!$A$6:$M$119,AR138,0),13,FALSE)),"")</f>
        <v/>
      </c>
      <c r="AT138" s="127" t="str">
        <f ca="1">IF(AR138&lt;&gt;"",IF(ISNA(VLOOKUP($N138,OFFSET(選手情報!$A$6:$BD$119,AR138,0),56,FALSE)),"",VLOOKUP($N138,OFFSET(選手情報!$A$6:$BD$119,AR138,0),56,FALSE)),"")</f>
        <v/>
      </c>
      <c r="AU138" s="127" t="str">
        <f ca="1">IF(AT138&lt;&gt;"",IF(ISNA(VLOOKUP($N138,OFFSET(選手情報!$A$6:$M$119,AT138,0),13,FALSE)),"","/"&amp;VLOOKUP($N138,OFFSET(選手情報!$A$6:$M$119,AT138,0),13,FALSE)),"")</f>
        <v/>
      </c>
      <c r="AV138" s="127" t="str">
        <f ca="1">IF(AT138&lt;&gt;"",IF(ISNA(VLOOKUP($N138,OFFSET(選手情報!$A$6:$BD$119,AT138,0),56,FALSE)),"",VLOOKUP($N138,OFFSET(選手情報!$A$6:$BD$119,AT138,0),56,FALSE)),"")</f>
        <v/>
      </c>
      <c r="AW138" s="127" t="str">
        <f ca="1">IF(AV138&lt;&gt;"",IF(ISNA(VLOOKUP($N138,OFFSET(選手情報!$A$6:$M$119,AV138,0),13,FALSE)),"","/"&amp;VLOOKUP($N138,OFFSET(選手情報!$A$6:$M$119,AV138,0),13,FALSE)),"")</f>
        <v/>
      </c>
      <c r="AX138" s="127" t="str">
        <f ca="1">IF(AV138&lt;&gt;"",IF(ISNA(VLOOKUP($N138,OFFSET(選手情報!$A$6:$BD$119,AV138,0),56,FALSE)),"",VLOOKUP($N138,OFFSET(選手情報!$A$6:$BD$119,AV138,0),56,FALSE)),"")</f>
        <v/>
      </c>
      <c r="AY138" s="127" t="str">
        <f ca="1">IF(AX138&lt;&gt;"",IF(ISNA(VLOOKUP($N138,OFFSET(選手情報!$A$6:$M$119,AX138,0),13,FALSE)),"","/"&amp;VLOOKUP($N138,OFFSET(選手情報!$A$6:$M$119,AX138,0),13,FALSE)),"")</f>
        <v/>
      </c>
      <c r="AZ138" s="127" t="str">
        <f ca="1">IF(AX138&lt;&gt;"",IF(ISNA(VLOOKUP($N138,OFFSET(選手情報!$A$6:$BD$119,AX138,0),56,FALSE)),"",VLOOKUP($N138,OFFSET(選手情報!$A$6:$BD$119,AX138,0),56,FALSE)),"")</f>
        <v/>
      </c>
      <c r="BA138" s="127" t="str">
        <f ca="1">IF(AZ138&lt;&gt;"",IF(ISNA(VLOOKUP($N138,OFFSET(選手情報!$A$6:$M$119,AZ138,0),13,FALSE)),"","/"&amp;VLOOKUP($N138,OFFSET(選手情報!$A$6:$M$119,AZ138,0),13,FALSE)),"")</f>
        <v/>
      </c>
      <c r="BB138" s="127" t="str">
        <f ca="1">IF(AZ138&lt;&gt;"",IF(ISNA(VLOOKUP($N138,OFFSET(選手情報!$A$6:$BD$119,AZ138,0),56,FALSE)),"",VLOOKUP($N138,OFFSET(選手情報!$A$6:$BD$119,AZ138,0),56,FALSE)),"")</f>
        <v/>
      </c>
      <c r="BC138" s="127" t="str">
        <f ca="1">IF(BB138&lt;&gt;"",IF(ISNA(VLOOKUP($N138,OFFSET(選手情報!$A$6:$M$119,BB138,0),13,FALSE)),"","/"&amp;VLOOKUP($N138,OFFSET(選手情報!$A$6:$M$119,BB138,0),13,FALSE)),"")</f>
        <v/>
      </c>
      <c r="BD138" s="127" t="str">
        <f ca="1">IF(BB138&lt;&gt;"",IF(ISNA(VLOOKUP($N138,OFFSET(選手情報!$A$6:$BD$119,BB138,0),56,FALSE)),"",VLOOKUP($N138,OFFSET(選手情報!$A$6:$BD$119,BB138,0),56,FALSE)),"")</f>
        <v/>
      </c>
      <c r="BE138" s="127" t="str">
        <f ca="1">IF(BD138&lt;&gt;"",IF(ISNA(VLOOKUP($N138,OFFSET(選手情報!$A$6:$M$119,BD138,0),13,FALSE)),"","/"&amp;VLOOKUP($N138,OFFSET(選手情報!$A$6:$M$119,BD138,0),13,FALSE)),"")</f>
        <v/>
      </c>
      <c r="BF138" s="127" t="str">
        <f ca="1">IF(BD138&lt;&gt;"",IF(ISNA(VLOOKUP($N138,OFFSET(選手情報!$A$6:$BD$119,BD138,0),56,FALSE)),"",VLOOKUP($N138,OFFSET(選手情報!$A$6:$BD$119,BD138,0),56,FALSE)),"")</f>
        <v/>
      </c>
      <c r="BG138" s="127" t="str">
        <f ca="1">IF(BF138&lt;&gt;"",IF(ISNA(VLOOKUP($N138,OFFSET(選手情報!$A$6:$M$119,BF138,0),13,FALSE)),"","/"&amp;VLOOKUP($N138,OFFSET(選手情報!$A$6:$M$119,BF138,0),13,FALSE)),"")</f>
        <v/>
      </c>
      <c r="BH138" s="127" t="str">
        <f ca="1">IF(BF138&lt;&gt;"",IF(ISNA(VLOOKUP($N138,OFFSET(選手情報!$A$6:$BD$119,BF138,0),56,FALSE)),"",VLOOKUP($N138,OFFSET(選手情報!$A$6:$BD$119,BF138,0),56,FALSE)),"")</f>
        <v/>
      </c>
      <c r="BI138" s="127" t="str">
        <f ca="1">IF(BH138&lt;&gt;"",IF(ISNA(VLOOKUP($N138,OFFSET(選手情報!$A$6:$M$119,BH138,0),13,FALSE)),"","/"&amp;VLOOKUP($N138,OFFSET(選手情報!$A$6:$M$119,BH138,0),13,FALSE)),"")</f>
        <v/>
      </c>
    </row>
    <row r="139" spans="1:61" s="127" customFormat="1" ht="12.6" customHeight="1">
      <c r="A139" s="128" t="str">
        <f>IF(ISNA(VLOOKUP($C$2&amp;N139,選手データ!A:H,3,FALSE)),"",IF(M139&lt;&gt;M138,VLOOKUP($C$2&amp;N139,選手データ!A:H,3,FALSE),""))</f>
        <v/>
      </c>
      <c r="B139" s="129" t="str">
        <f>IF(A139&lt;&gt;"",VLOOKUP($C$2&amp;N139,選手データ!A:H,4,FALSE),"")</f>
        <v/>
      </c>
      <c r="C139" s="129" t="str">
        <f>IF(A139&lt;&gt;"",VLOOKUP($C$2&amp;N139,選手データ!A:H,5,FALSE),"")</f>
        <v/>
      </c>
      <c r="D139" s="129" t="str">
        <f>IF(A139&lt;&gt;"",VLOOKUP($C$2&amp;N139,選手データ!A:H,6,FALSE),"")</f>
        <v/>
      </c>
      <c r="E139" s="129" t="str">
        <f>IF(A139&lt;&gt;"",VLOOKUP($C$2&amp;N139,選手データ!A:H,7,FALSE),"")</f>
        <v/>
      </c>
      <c r="F139" s="130" t="str">
        <f>IF(A139&lt;&gt;"",VLOOKUP($C$2&amp;N139,選手データ!A:H,8,FALSE),"")</f>
        <v/>
      </c>
      <c r="G139" s="130" t="str">
        <f>IF(F139&lt;&gt;"",IF(DATEDIF(F139,設定!$B$12,"Y")&lt;20,"〇",""),"")</f>
        <v/>
      </c>
      <c r="H139" s="131" t="str">
        <f t="shared" ref="H139:H177" ca="1" si="19">IF(ISNA(O139),"",O139)</f>
        <v/>
      </c>
      <c r="I139" s="132" t="str">
        <f t="shared" ref="I139:I177" ca="1" si="20">IF(ISNA(Q139),"",Q139)</f>
        <v/>
      </c>
      <c r="J139" s="131" t="str">
        <f t="shared" ref="J139:J177" ca="1" si="21">IF(ISNA(P139),"",P139)</f>
        <v/>
      </c>
      <c r="K139" s="130" t="str">
        <f>IF(A139&lt;&gt;"",IF(COUNTIF(リレーチーム情報!$B$17:$B$22,A139&amp;E139)=1,"〇",""),"")</f>
        <v/>
      </c>
      <c r="L139" s="133" t="str">
        <f>IF(A139&lt;&gt;"",IF(COUNTIF(リレーチーム情報!$B$23:$B$28,A139&amp;E139)=1,"〇",""),"")</f>
        <v/>
      </c>
      <c r="M139" s="127">
        <f>IF(学校情報!$A$4&lt;&gt;"",0,IF(S138=0,MAX($M$109:M138)+1,M138))</f>
        <v>0</v>
      </c>
      <c r="N139" s="127" t="str">
        <f>IF(M139&lt;&gt;0,VLOOKUP(M139,選手情報!BI:BJ,2,FALSE),"")</f>
        <v/>
      </c>
      <c r="O139" s="127" t="str">
        <f ca="1">IF(M139&lt;&gt;0,VLOOKUP(N139,OFFSET(選手情報!$A$6:$W$119,IF(M139&lt;&gt;M138,0,R138),0),13,FALSE),"")</f>
        <v/>
      </c>
      <c r="P139" s="127" t="str">
        <f ca="1">IF(M139&lt;&gt;0,VLOOKUP(N139,OFFSET(選手情報!$A$6:$W$119,IF(M139&lt;&gt;M138,0,R138),0),16,FALSE),"")</f>
        <v/>
      </c>
      <c r="Q139" s="127" t="str">
        <f ca="1">IF(M139&lt;&gt;0,VLOOKUP(N139,OFFSET(選手情報!$A$6:$W$119,IF(M139&lt;&gt;M138,0,R138),0),21,FALSE),"")</f>
        <v/>
      </c>
      <c r="R139" s="127">
        <f ca="1">IF(M139&lt;&gt;0,VLOOKUP(N139,OFFSET(選手情報!$A$6:$BD$119,IF(M139&lt;&gt;M138,0,R138),0),56,FALSE),0)</f>
        <v>0</v>
      </c>
      <c r="S139" s="127">
        <f ca="1">IF(M139&lt;&gt;0,IF(ISNA(R139),0,COUNTIF(OFFSET(選手情報!$A$6:$A$119,R139,0),N139)),0)</f>
        <v>0</v>
      </c>
      <c r="U139" s="127">
        <f t="shared" si="16"/>
        <v>0</v>
      </c>
      <c r="V139" s="127">
        <f t="shared" ca="1" si="17"/>
        <v>1</v>
      </c>
      <c r="W139" s="127">
        <f t="shared" ca="1" si="12"/>
        <v>0</v>
      </c>
      <c r="X139" s="127" t="str">
        <f t="shared" ca="1" si="18"/>
        <v/>
      </c>
      <c r="Y139" s="127" t="str">
        <f>IF($A139&lt;&gt;"",IF(ISNA(VLOOKUP($N139,選手情報!$A$6:$M$119,13,FALSE)),"","/"&amp;VLOOKUP($N139,選手情報!$A$6:$M$119,13,FALSE)),"")</f>
        <v/>
      </c>
      <c r="Z139" s="127" t="str">
        <f ca="1">IF(Y139&lt;&gt;"",IF(ISNA(VLOOKUP($N139,OFFSET(選手情報!$A$6:$BD$119,0,0),56,FALSE)),"",VLOOKUP($N139,OFFSET(選手情報!$A$6:$BD$119,0,0),56,FALSE)),"")</f>
        <v/>
      </c>
      <c r="AA139" s="127" t="str">
        <f ca="1">IF(Z139&lt;&gt;"",IF(ISNA(VLOOKUP($N139,OFFSET(選手情報!$A$6:$M$119,Z139,0),13,FALSE)),"","/"&amp;VLOOKUP($N139,OFFSET(選手情報!$A$6:$M$119,Z139,0),13,FALSE)),"")</f>
        <v/>
      </c>
      <c r="AB139" s="127" t="str">
        <f ca="1">IF(Z139&lt;&gt;"",IF(ISNA(VLOOKUP($N139,OFFSET(選手情報!$A$6:$BD$119,Z139,0),56,FALSE)),"",VLOOKUP($N139,OFFSET(選手情報!$A$6:$BD$119,Z139,0),56,FALSE)),"")</f>
        <v/>
      </c>
      <c r="AC139" s="127" t="str">
        <f ca="1">IF(AB139&lt;&gt;"",IF(ISNA(VLOOKUP($N139,OFFSET(選手情報!$A$6:$M$119,AB139,0),13,FALSE)),"","/"&amp;VLOOKUP($N139,OFFSET(選手情報!$A$6:$M$119,AB139,0),13,FALSE)),"")</f>
        <v/>
      </c>
      <c r="AD139" s="127" t="str">
        <f ca="1">IF(AB139&lt;&gt;"",IF(ISNA(VLOOKUP($N139,OFFSET(選手情報!$A$6:$BD$119,AB139,0),56,FALSE)),"",VLOOKUP($N139,OFFSET(選手情報!$A$6:$BD$119,AB139,0),56,FALSE)),"")</f>
        <v/>
      </c>
      <c r="AE139" s="127" t="str">
        <f ca="1">IF(AD139&lt;&gt;"",IF(ISNA(VLOOKUP($N139,OFFSET(選手情報!$A$6:$M$119,AD139,0),13,FALSE)),"","/"&amp;VLOOKUP($N139,OFFSET(選手情報!$A$6:$M$119,AD139,0),13,FALSE)),"")</f>
        <v/>
      </c>
      <c r="AF139" s="127" t="str">
        <f ca="1">IF(AD139&lt;&gt;"",IF(ISNA(VLOOKUP($N139,OFFSET(選手情報!$A$6:$BD$119,AD139,0),56,FALSE)),"",VLOOKUP($N139,OFFSET(選手情報!$A$6:$BD$119,AD139,0),56,FALSE)),"")</f>
        <v/>
      </c>
      <c r="AG139" s="127" t="str">
        <f ca="1">IF(AF139&lt;&gt;"",IF(ISNA(VLOOKUP($N139,OFFSET(選手情報!$A$6:$M$119,AF139,0),13,FALSE)),"","/"&amp;VLOOKUP($N139,OFFSET(選手情報!$A$6:$M$119,AF139,0),13,FALSE)),"")</f>
        <v/>
      </c>
      <c r="AH139" s="127" t="str">
        <f ca="1">IF(AF139&lt;&gt;"",IF(ISNA(VLOOKUP($N139,OFFSET(選手情報!$A$6:$BD$119,AF139,0),56,FALSE)),"",VLOOKUP($N139,OFFSET(選手情報!$A$6:$BD$119,AF139,0),56,FALSE)),"")</f>
        <v/>
      </c>
      <c r="AI139" s="127" t="str">
        <f ca="1">IF(AH139&lt;&gt;"",IF(ISNA(VLOOKUP($N139,OFFSET(選手情報!$A$6:$M$119,AH139,0),13,FALSE)),"","/"&amp;VLOOKUP($N139,OFFSET(選手情報!$A$6:$M$119,AH139,0),13,FALSE)),"")</f>
        <v/>
      </c>
      <c r="AJ139" s="127" t="str">
        <f ca="1">IF(AH139&lt;&gt;"",IF(ISNA(VLOOKUP($N139,OFFSET(選手情報!$A$6:$BD$119,AH139,0),56,FALSE)),"",VLOOKUP($N139,OFFSET(選手情報!$A$6:$BD$119,AH139,0),56,FALSE)),"")</f>
        <v/>
      </c>
      <c r="AK139" s="127" t="str">
        <f ca="1">IF(AJ139&lt;&gt;"",IF(ISNA(VLOOKUP($N139,OFFSET(選手情報!$A$6:$M$119,AJ139,0),13,FALSE)),"","/"&amp;VLOOKUP($N139,OFFSET(選手情報!$A$6:$M$119,AJ139,0),13,FALSE)),"")</f>
        <v/>
      </c>
      <c r="AL139" s="127" t="str">
        <f ca="1">IF(AJ139&lt;&gt;"",IF(ISNA(VLOOKUP($N139,OFFSET(選手情報!$A$6:$BD$119,AJ139,0),56,FALSE)),"",VLOOKUP($N139,OFFSET(選手情報!$A$6:$BD$119,AJ139,0),56,FALSE)),"")</f>
        <v/>
      </c>
      <c r="AM139" s="127" t="str">
        <f ca="1">IF(AL139&lt;&gt;"",IF(ISNA(VLOOKUP($N139,OFFSET(選手情報!$A$6:$M$119,AL139,0),13,FALSE)),"","/"&amp;VLOOKUP($N139,OFFSET(選手情報!$A$6:$M$119,AL139,0),13,FALSE)),"")</f>
        <v/>
      </c>
      <c r="AN139" s="127" t="str">
        <f ca="1">IF(AL139&lt;&gt;"",IF(ISNA(VLOOKUP($N139,OFFSET(選手情報!$A$6:$BD$119,AL139,0),56,FALSE)),"",VLOOKUP($N139,OFFSET(選手情報!$A$6:$BD$119,AL139,0),56,FALSE)),"")</f>
        <v/>
      </c>
      <c r="AO139" s="127" t="str">
        <f ca="1">IF(AN139&lt;&gt;"",IF(ISNA(VLOOKUP($N139,OFFSET(選手情報!$A$6:$M$119,AN139,0),13,FALSE)),"","/"&amp;VLOOKUP($N139,OFFSET(選手情報!$A$6:$M$119,AN139,0),13,FALSE)),"")</f>
        <v/>
      </c>
      <c r="AP139" s="127" t="str">
        <f ca="1">IF(AN139&lt;&gt;"",IF(ISNA(VLOOKUP($N139,OFFSET(選手情報!$A$6:$BD$119,AN139,0),56,FALSE)),"",VLOOKUP($N139,OFFSET(選手情報!$A$6:$BD$119,AN139,0),56,FALSE)),"")</f>
        <v/>
      </c>
      <c r="AQ139" s="127" t="str">
        <f ca="1">IF(AP139&lt;&gt;"",IF(ISNA(VLOOKUP($N139,OFFSET(選手情報!$A$6:$M$119,AP139,0),13,FALSE)),"","/"&amp;VLOOKUP($N139,OFFSET(選手情報!$A$6:$M$119,AP139,0),13,FALSE)),"")</f>
        <v/>
      </c>
      <c r="AR139" s="127" t="str">
        <f ca="1">IF(AP139&lt;&gt;"",IF(ISNA(VLOOKUP($N139,OFFSET(選手情報!$A$6:$BD$119,AP139,0),56,FALSE)),"",VLOOKUP($N139,OFFSET(選手情報!$A$6:$BD$119,AP139,0),56,FALSE)),"")</f>
        <v/>
      </c>
      <c r="AS139" s="127" t="str">
        <f ca="1">IF(AR139&lt;&gt;"",IF(ISNA(VLOOKUP($N139,OFFSET(選手情報!$A$6:$M$119,AR139,0),13,FALSE)),"","/"&amp;VLOOKUP($N139,OFFSET(選手情報!$A$6:$M$119,AR139,0),13,FALSE)),"")</f>
        <v/>
      </c>
      <c r="AT139" s="127" t="str">
        <f ca="1">IF(AR139&lt;&gt;"",IF(ISNA(VLOOKUP($N139,OFFSET(選手情報!$A$6:$BD$119,AR139,0),56,FALSE)),"",VLOOKUP($N139,OFFSET(選手情報!$A$6:$BD$119,AR139,0),56,FALSE)),"")</f>
        <v/>
      </c>
      <c r="AU139" s="127" t="str">
        <f ca="1">IF(AT139&lt;&gt;"",IF(ISNA(VLOOKUP($N139,OFFSET(選手情報!$A$6:$M$119,AT139,0),13,FALSE)),"","/"&amp;VLOOKUP($N139,OFFSET(選手情報!$A$6:$M$119,AT139,0),13,FALSE)),"")</f>
        <v/>
      </c>
      <c r="AV139" s="127" t="str">
        <f ca="1">IF(AT139&lt;&gt;"",IF(ISNA(VLOOKUP($N139,OFFSET(選手情報!$A$6:$BD$119,AT139,0),56,FALSE)),"",VLOOKUP($N139,OFFSET(選手情報!$A$6:$BD$119,AT139,0),56,FALSE)),"")</f>
        <v/>
      </c>
      <c r="AW139" s="127" t="str">
        <f ca="1">IF(AV139&lt;&gt;"",IF(ISNA(VLOOKUP($N139,OFFSET(選手情報!$A$6:$M$119,AV139,0),13,FALSE)),"","/"&amp;VLOOKUP($N139,OFFSET(選手情報!$A$6:$M$119,AV139,0),13,FALSE)),"")</f>
        <v/>
      </c>
      <c r="AX139" s="127" t="str">
        <f ca="1">IF(AV139&lt;&gt;"",IF(ISNA(VLOOKUP($N139,OFFSET(選手情報!$A$6:$BD$119,AV139,0),56,FALSE)),"",VLOOKUP($N139,OFFSET(選手情報!$A$6:$BD$119,AV139,0),56,FALSE)),"")</f>
        <v/>
      </c>
      <c r="AY139" s="127" t="str">
        <f ca="1">IF(AX139&lt;&gt;"",IF(ISNA(VLOOKUP($N139,OFFSET(選手情報!$A$6:$M$119,AX139,0),13,FALSE)),"","/"&amp;VLOOKUP($N139,OFFSET(選手情報!$A$6:$M$119,AX139,0),13,FALSE)),"")</f>
        <v/>
      </c>
      <c r="AZ139" s="127" t="str">
        <f ca="1">IF(AX139&lt;&gt;"",IF(ISNA(VLOOKUP($N139,OFFSET(選手情報!$A$6:$BD$119,AX139,0),56,FALSE)),"",VLOOKUP($N139,OFFSET(選手情報!$A$6:$BD$119,AX139,0),56,FALSE)),"")</f>
        <v/>
      </c>
      <c r="BA139" s="127" t="str">
        <f ca="1">IF(AZ139&lt;&gt;"",IF(ISNA(VLOOKUP($N139,OFFSET(選手情報!$A$6:$M$119,AZ139,0),13,FALSE)),"","/"&amp;VLOOKUP($N139,OFFSET(選手情報!$A$6:$M$119,AZ139,0),13,FALSE)),"")</f>
        <v/>
      </c>
      <c r="BB139" s="127" t="str">
        <f ca="1">IF(AZ139&lt;&gt;"",IF(ISNA(VLOOKUP($N139,OFFSET(選手情報!$A$6:$BD$119,AZ139,0),56,FALSE)),"",VLOOKUP($N139,OFFSET(選手情報!$A$6:$BD$119,AZ139,0),56,FALSE)),"")</f>
        <v/>
      </c>
      <c r="BC139" s="127" t="str">
        <f ca="1">IF(BB139&lt;&gt;"",IF(ISNA(VLOOKUP($N139,OFFSET(選手情報!$A$6:$M$119,BB139,0),13,FALSE)),"","/"&amp;VLOOKUP($N139,OFFSET(選手情報!$A$6:$M$119,BB139,0),13,FALSE)),"")</f>
        <v/>
      </c>
      <c r="BD139" s="127" t="str">
        <f ca="1">IF(BB139&lt;&gt;"",IF(ISNA(VLOOKUP($N139,OFFSET(選手情報!$A$6:$BD$119,BB139,0),56,FALSE)),"",VLOOKUP($N139,OFFSET(選手情報!$A$6:$BD$119,BB139,0),56,FALSE)),"")</f>
        <v/>
      </c>
      <c r="BE139" s="127" t="str">
        <f ca="1">IF(BD139&lt;&gt;"",IF(ISNA(VLOOKUP($N139,OFFSET(選手情報!$A$6:$M$119,BD139,0),13,FALSE)),"","/"&amp;VLOOKUP($N139,OFFSET(選手情報!$A$6:$M$119,BD139,0),13,FALSE)),"")</f>
        <v/>
      </c>
      <c r="BF139" s="127" t="str">
        <f ca="1">IF(BD139&lt;&gt;"",IF(ISNA(VLOOKUP($N139,OFFSET(選手情報!$A$6:$BD$119,BD139,0),56,FALSE)),"",VLOOKUP($N139,OFFSET(選手情報!$A$6:$BD$119,BD139,0),56,FALSE)),"")</f>
        <v/>
      </c>
      <c r="BG139" s="127" t="str">
        <f ca="1">IF(BF139&lt;&gt;"",IF(ISNA(VLOOKUP($N139,OFFSET(選手情報!$A$6:$M$119,BF139,0),13,FALSE)),"","/"&amp;VLOOKUP($N139,OFFSET(選手情報!$A$6:$M$119,BF139,0),13,FALSE)),"")</f>
        <v/>
      </c>
      <c r="BH139" s="127" t="str">
        <f ca="1">IF(BF139&lt;&gt;"",IF(ISNA(VLOOKUP($N139,OFFSET(選手情報!$A$6:$BD$119,BF139,0),56,FALSE)),"",VLOOKUP($N139,OFFSET(選手情報!$A$6:$BD$119,BF139,0),56,FALSE)),"")</f>
        <v/>
      </c>
      <c r="BI139" s="127" t="str">
        <f ca="1">IF(BH139&lt;&gt;"",IF(ISNA(VLOOKUP($N139,OFFSET(選手情報!$A$6:$M$119,BH139,0),13,FALSE)),"","/"&amp;VLOOKUP($N139,OFFSET(選手情報!$A$6:$M$119,BH139,0),13,FALSE)),"")</f>
        <v/>
      </c>
    </row>
    <row r="140" spans="1:61" s="127" customFormat="1" ht="12.6" customHeight="1">
      <c r="A140" s="128" t="str">
        <f>IF(ISNA(VLOOKUP($C$2&amp;N140,選手データ!A:H,3,FALSE)),"",IF(M140&lt;&gt;M139,VLOOKUP($C$2&amp;N140,選手データ!A:H,3,FALSE),""))</f>
        <v/>
      </c>
      <c r="B140" s="129" t="str">
        <f>IF(A140&lt;&gt;"",VLOOKUP($C$2&amp;N140,選手データ!A:H,4,FALSE),"")</f>
        <v/>
      </c>
      <c r="C140" s="129" t="str">
        <f>IF(A140&lt;&gt;"",VLOOKUP($C$2&amp;N140,選手データ!A:H,5,FALSE),"")</f>
        <v/>
      </c>
      <c r="D140" s="129" t="str">
        <f>IF(A140&lt;&gt;"",VLOOKUP($C$2&amp;N140,選手データ!A:H,6,FALSE),"")</f>
        <v/>
      </c>
      <c r="E140" s="129" t="str">
        <f>IF(A140&lt;&gt;"",VLOOKUP($C$2&amp;N140,選手データ!A:H,7,FALSE),"")</f>
        <v/>
      </c>
      <c r="F140" s="130" t="str">
        <f>IF(A140&lt;&gt;"",VLOOKUP($C$2&amp;N140,選手データ!A:H,8,FALSE),"")</f>
        <v/>
      </c>
      <c r="G140" s="130" t="str">
        <f>IF(F140&lt;&gt;"",IF(DATEDIF(F140,設定!$B$12,"Y")&lt;20,"〇",""),"")</f>
        <v/>
      </c>
      <c r="H140" s="131" t="str">
        <f t="shared" ca="1" si="19"/>
        <v/>
      </c>
      <c r="I140" s="132" t="str">
        <f t="shared" ca="1" si="20"/>
        <v/>
      </c>
      <c r="J140" s="131" t="str">
        <f t="shared" ca="1" si="21"/>
        <v/>
      </c>
      <c r="K140" s="130" t="str">
        <f>IF(A140&lt;&gt;"",IF(COUNTIF(リレーチーム情報!$B$17:$B$22,A140&amp;E140)=1,"〇",""),"")</f>
        <v/>
      </c>
      <c r="L140" s="133" t="str">
        <f>IF(A140&lt;&gt;"",IF(COUNTIF(リレーチーム情報!$B$23:$B$28,A140&amp;E140)=1,"〇",""),"")</f>
        <v/>
      </c>
      <c r="M140" s="127">
        <f>IF(学校情報!$A$4&lt;&gt;"",0,IF(S139=0,MAX($M$109:M139)+1,M139))</f>
        <v>0</v>
      </c>
      <c r="N140" s="127" t="str">
        <f>IF(M140&lt;&gt;0,VLOOKUP(M140,選手情報!BI:BJ,2,FALSE),"")</f>
        <v/>
      </c>
      <c r="O140" s="127" t="str">
        <f ca="1">IF(M140&lt;&gt;0,VLOOKUP(N140,OFFSET(選手情報!$A$6:$W$119,IF(M140&lt;&gt;M139,0,R139),0),13,FALSE),"")</f>
        <v/>
      </c>
      <c r="P140" s="127" t="str">
        <f ca="1">IF(M140&lt;&gt;0,VLOOKUP(N140,OFFSET(選手情報!$A$6:$W$119,IF(M140&lt;&gt;M139,0,R139),0),16,FALSE),"")</f>
        <v/>
      </c>
      <c r="Q140" s="127" t="str">
        <f ca="1">IF(M140&lt;&gt;0,VLOOKUP(N140,OFFSET(選手情報!$A$6:$W$119,IF(M140&lt;&gt;M139,0,R139),0),21,FALSE),"")</f>
        <v/>
      </c>
      <c r="R140" s="127">
        <f ca="1">IF(M140&lt;&gt;0,VLOOKUP(N140,OFFSET(選手情報!$A$6:$BD$119,IF(M140&lt;&gt;M139,0,R139),0),56,FALSE),0)</f>
        <v>0</v>
      </c>
      <c r="S140" s="127">
        <f ca="1">IF(M140&lt;&gt;0,IF(ISNA(R140),0,COUNTIF(OFFSET(選手情報!$A$6:$A$119,R140,0),N140)),0)</f>
        <v>0</v>
      </c>
      <c r="U140" s="127">
        <f t="shared" si="16"/>
        <v>0</v>
      </c>
      <c r="V140" s="127">
        <f t="shared" ca="1" si="17"/>
        <v>1</v>
      </c>
      <c r="W140" s="127">
        <f t="shared" ca="1" si="12"/>
        <v>0</v>
      </c>
      <c r="X140" s="127" t="str">
        <f t="shared" ca="1" si="18"/>
        <v/>
      </c>
      <c r="Y140" s="127" t="str">
        <f>IF($A140&lt;&gt;"",IF(ISNA(VLOOKUP($N140,選手情報!$A$6:$M$119,13,FALSE)),"","/"&amp;VLOOKUP($N140,選手情報!$A$6:$M$119,13,FALSE)),"")</f>
        <v/>
      </c>
      <c r="Z140" s="127" t="str">
        <f ca="1">IF(Y140&lt;&gt;"",IF(ISNA(VLOOKUP($N140,OFFSET(選手情報!$A$6:$BD$119,0,0),56,FALSE)),"",VLOOKUP($N140,OFFSET(選手情報!$A$6:$BD$119,0,0),56,FALSE)),"")</f>
        <v/>
      </c>
      <c r="AA140" s="127" t="str">
        <f ca="1">IF(Z140&lt;&gt;"",IF(ISNA(VLOOKUP($N140,OFFSET(選手情報!$A$6:$M$119,Z140,0),13,FALSE)),"","/"&amp;VLOOKUP($N140,OFFSET(選手情報!$A$6:$M$119,Z140,0),13,FALSE)),"")</f>
        <v/>
      </c>
      <c r="AB140" s="127" t="str">
        <f ca="1">IF(Z140&lt;&gt;"",IF(ISNA(VLOOKUP($N140,OFFSET(選手情報!$A$6:$BD$119,Z140,0),56,FALSE)),"",VLOOKUP($N140,OFFSET(選手情報!$A$6:$BD$119,Z140,0),56,FALSE)),"")</f>
        <v/>
      </c>
      <c r="AC140" s="127" t="str">
        <f ca="1">IF(AB140&lt;&gt;"",IF(ISNA(VLOOKUP($N140,OFFSET(選手情報!$A$6:$M$119,AB140,0),13,FALSE)),"","/"&amp;VLOOKUP($N140,OFFSET(選手情報!$A$6:$M$119,AB140,0),13,FALSE)),"")</f>
        <v/>
      </c>
      <c r="AD140" s="127" t="str">
        <f ca="1">IF(AB140&lt;&gt;"",IF(ISNA(VLOOKUP($N140,OFFSET(選手情報!$A$6:$BD$119,AB140,0),56,FALSE)),"",VLOOKUP($N140,OFFSET(選手情報!$A$6:$BD$119,AB140,0),56,FALSE)),"")</f>
        <v/>
      </c>
      <c r="AE140" s="127" t="str">
        <f ca="1">IF(AD140&lt;&gt;"",IF(ISNA(VLOOKUP($N140,OFFSET(選手情報!$A$6:$M$119,AD140,0),13,FALSE)),"","/"&amp;VLOOKUP($N140,OFFSET(選手情報!$A$6:$M$119,AD140,0),13,FALSE)),"")</f>
        <v/>
      </c>
      <c r="AF140" s="127" t="str">
        <f ca="1">IF(AD140&lt;&gt;"",IF(ISNA(VLOOKUP($N140,OFFSET(選手情報!$A$6:$BD$119,AD140,0),56,FALSE)),"",VLOOKUP($N140,OFFSET(選手情報!$A$6:$BD$119,AD140,0),56,FALSE)),"")</f>
        <v/>
      </c>
      <c r="AG140" s="127" t="str">
        <f ca="1">IF(AF140&lt;&gt;"",IF(ISNA(VLOOKUP($N140,OFFSET(選手情報!$A$6:$M$119,AF140,0),13,FALSE)),"","/"&amp;VLOOKUP($N140,OFFSET(選手情報!$A$6:$M$119,AF140,0),13,FALSE)),"")</f>
        <v/>
      </c>
      <c r="AH140" s="127" t="str">
        <f ca="1">IF(AF140&lt;&gt;"",IF(ISNA(VLOOKUP($N140,OFFSET(選手情報!$A$6:$BD$119,AF140,0),56,FALSE)),"",VLOOKUP($N140,OFFSET(選手情報!$A$6:$BD$119,AF140,0),56,FALSE)),"")</f>
        <v/>
      </c>
      <c r="AI140" s="127" t="str">
        <f ca="1">IF(AH140&lt;&gt;"",IF(ISNA(VLOOKUP($N140,OFFSET(選手情報!$A$6:$M$119,AH140,0),13,FALSE)),"","/"&amp;VLOOKUP($N140,OFFSET(選手情報!$A$6:$M$119,AH140,0),13,FALSE)),"")</f>
        <v/>
      </c>
      <c r="AJ140" s="127" t="str">
        <f ca="1">IF(AH140&lt;&gt;"",IF(ISNA(VLOOKUP($N140,OFFSET(選手情報!$A$6:$BD$119,AH140,0),56,FALSE)),"",VLOOKUP($N140,OFFSET(選手情報!$A$6:$BD$119,AH140,0),56,FALSE)),"")</f>
        <v/>
      </c>
      <c r="AK140" s="127" t="str">
        <f ca="1">IF(AJ140&lt;&gt;"",IF(ISNA(VLOOKUP($N140,OFFSET(選手情報!$A$6:$M$119,AJ140,0),13,FALSE)),"","/"&amp;VLOOKUP($N140,OFFSET(選手情報!$A$6:$M$119,AJ140,0),13,FALSE)),"")</f>
        <v/>
      </c>
      <c r="AL140" s="127" t="str">
        <f ca="1">IF(AJ140&lt;&gt;"",IF(ISNA(VLOOKUP($N140,OFFSET(選手情報!$A$6:$BD$119,AJ140,0),56,FALSE)),"",VLOOKUP($N140,OFFSET(選手情報!$A$6:$BD$119,AJ140,0),56,FALSE)),"")</f>
        <v/>
      </c>
      <c r="AM140" s="127" t="str">
        <f ca="1">IF(AL140&lt;&gt;"",IF(ISNA(VLOOKUP($N140,OFFSET(選手情報!$A$6:$M$119,AL140,0),13,FALSE)),"","/"&amp;VLOOKUP($N140,OFFSET(選手情報!$A$6:$M$119,AL140,0),13,FALSE)),"")</f>
        <v/>
      </c>
      <c r="AN140" s="127" t="str">
        <f ca="1">IF(AL140&lt;&gt;"",IF(ISNA(VLOOKUP($N140,OFFSET(選手情報!$A$6:$BD$119,AL140,0),56,FALSE)),"",VLOOKUP($N140,OFFSET(選手情報!$A$6:$BD$119,AL140,0),56,FALSE)),"")</f>
        <v/>
      </c>
      <c r="AO140" s="127" t="str">
        <f ca="1">IF(AN140&lt;&gt;"",IF(ISNA(VLOOKUP($N140,OFFSET(選手情報!$A$6:$M$119,AN140,0),13,FALSE)),"","/"&amp;VLOOKUP($N140,OFFSET(選手情報!$A$6:$M$119,AN140,0),13,FALSE)),"")</f>
        <v/>
      </c>
      <c r="AP140" s="127" t="str">
        <f ca="1">IF(AN140&lt;&gt;"",IF(ISNA(VLOOKUP($N140,OFFSET(選手情報!$A$6:$BD$119,AN140,0),56,FALSE)),"",VLOOKUP($N140,OFFSET(選手情報!$A$6:$BD$119,AN140,0),56,FALSE)),"")</f>
        <v/>
      </c>
      <c r="AQ140" s="127" t="str">
        <f ca="1">IF(AP140&lt;&gt;"",IF(ISNA(VLOOKUP($N140,OFFSET(選手情報!$A$6:$M$119,AP140,0),13,FALSE)),"","/"&amp;VLOOKUP($N140,OFFSET(選手情報!$A$6:$M$119,AP140,0),13,FALSE)),"")</f>
        <v/>
      </c>
      <c r="AR140" s="127" t="str">
        <f ca="1">IF(AP140&lt;&gt;"",IF(ISNA(VLOOKUP($N140,OFFSET(選手情報!$A$6:$BD$119,AP140,0),56,FALSE)),"",VLOOKUP($N140,OFFSET(選手情報!$A$6:$BD$119,AP140,0),56,FALSE)),"")</f>
        <v/>
      </c>
      <c r="AS140" s="127" t="str">
        <f ca="1">IF(AR140&lt;&gt;"",IF(ISNA(VLOOKUP($N140,OFFSET(選手情報!$A$6:$M$119,AR140,0),13,FALSE)),"","/"&amp;VLOOKUP($N140,OFFSET(選手情報!$A$6:$M$119,AR140,0),13,FALSE)),"")</f>
        <v/>
      </c>
      <c r="AT140" s="127" t="str">
        <f ca="1">IF(AR140&lt;&gt;"",IF(ISNA(VLOOKUP($N140,OFFSET(選手情報!$A$6:$BD$119,AR140,0),56,FALSE)),"",VLOOKUP($N140,OFFSET(選手情報!$A$6:$BD$119,AR140,0),56,FALSE)),"")</f>
        <v/>
      </c>
      <c r="AU140" s="127" t="str">
        <f ca="1">IF(AT140&lt;&gt;"",IF(ISNA(VLOOKUP($N140,OFFSET(選手情報!$A$6:$M$119,AT140,0),13,FALSE)),"","/"&amp;VLOOKUP($N140,OFFSET(選手情報!$A$6:$M$119,AT140,0),13,FALSE)),"")</f>
        <v/>
      </c>
      <c r="AV140" s="127" t="str">
        <f ca="1">IF(AT140&lt;&gt;"",IF(ISNA(VLOOKUP($N140,OFFSET(選手情報!$A$6:$BD$119,AT140,0),56,FALSE)),"",VLOOKUP($N140,OFFSET(選手情報!$A$6:$BD$119,AT140,0),56,FALSE)),"")</f>
        <v/>
      </c>
      <c r="AW140" s="127" t="str">
        <f ca="1">IF(AV140&lt;&gt;"",IF(ISNA(VLOOKUP($N140,OFFSET(選手情報!$A$6:$M$119,AV140,0),13,FALSE)),"","/"&amp;VLOOKUP($N140,OFFSET(選手情報!$A$6:$M$119,AV140,0),13,FALSE)),"")</f>
        <v/>
      </c>
      <c r="AX140" s="127" t="str">
        <f ca="1">IF(AV140&lt;&gt;"",IF(ISNA(VLOOKUP($N140,OFFSET(選手情報!$A$6:$BD$119,AV140,0),56,FALSE)),"",VLOOKUP($N140,OFFSET(選手情報!$A$6:$BD$119,AV140,0),56,FALSE)),"")</f>
        <v/>
      </c>
      <c r="AY140" s="127" t="str">
        <f ca="1">IF(AX140&lt;&gt;"",IF(ISNA(VLOOKUP($N140,OFFSET(選手情報!$A$6:$M$119,AX140,0),13,FALSE)),"","/"&amp;VLOOKUP($N140,OFFSET(選手情報!$A$6:$M$119,AX140,0),13,FALSE)),"")</f>
        <v/>
      </c>
      <c r="AZ140" s="127" t="str">
        <f ca="1">IF(AX140&lt;&gt;"",IF(ISNA(VLOOKUP($N140,OFFSET(選手情報!$A$6:$BD$119,AX140,0),56,FALSE)),"",VLOOKUP($N140,OFFSET(選手情報!$A$6:$BD$119,AX140,0),56,FALSE)),"")</f>
        <v/>
      </c>
      <c r="BA140" s="127" t="str">
        <f ca="1">IF(AZ140&lt;&gt;"",IF(ISNA(VLOOKUP($N140,OFFSET(選手情報!$A$6:$M$119,AZ140,0),13,FALSE)),"","/"&amp;VLOOKUP($N140,OFFSET(選手情報!$A$6:$M$119,AZ140,0),13,FALSE)),"")</f>
        <v/>
      </c>
      <c r="BB140" s="127" t="str">
        <f ca="1">IF(AZ140&lt;&gt;"",IF(ISNA(VLOOKUP($N140,OFFSET(選手情報!$A$6:$BD$119,AZ140,0),56,FALSE)),"",VLOOKUP($N140,OFFSET(選手情報!$A$6:$BD$119,AZ140,0),56,FALSE)),"")</f>
        <v/>
      </c>
      <c r="BC140" s="127" t="str">
        <f ca="1">IF(BB140&lt;&gt;"",IF(ISNA(VLOOKUP($N140,OFFSET(選手情報!$A$6:$M$119,BB140,0),13,FALSE)),"","/"&amp;VLOOKUP($N140,OFFSET(選手情報!$A$6:$M$119,BB140,0),13,FALSE)),"")</f>
        <v/>
      </c>
      <c r="BD140" s="127" t="str">
        <f ca="1">IF(BB140&lt;&gt;"",IF(ISNA(VLOOKUP($N140,OFFSET(選手情報!$A$6:$BD$119,BB140,0),56,FALSE)),"",VLOOKUP($N140,OFFSET(選手情報!$A$6:$BD$119,BB140,0),56,FALSE)),"")</f>
        <v/>
      </c>
      <c r="BE140" s="127" t="str">
        <f ca="1">IF(BD140&lt;&gt;"",IF(ISNA(VLOOKUP($N140,OFFSET(選手情報!$A$6:$M$119,BD140,0),13,FALSE)),"","/"&amp;VLOOKUP($N140,OFFSET(選手情報!$A$6:$M$119,BD140,0),13,FALSE)),"")</f>
        <v/>
      </c>
      <c r="BF140" s="127" t="str">
        <f ca="1">IF(BD140&lt;&gt;"",IF(ISNA(VLOOKUP($N140,OFFSET(選手情報!$A$6:$BD$119,BD140,0),56,FALSE)),"",VLOOKUP($N140,OFFSET(選手情報!$A$6:$BD$119,BD140,0),56,FALSE)),"")</f>
        <v/>
      </c>
      <c r="BG140" s="127" t="str">
        <f ca="1">IF(BF140&lt;&gt;"",IF(ISNA(VLOOKUP($N140,OFFSET(選手情報!$A$6:$M$119,BF140,0),13,FALSE)),"","/"&amp;VLOOKUP($N140,OFFSET(選手情報!$A$6:$M$119,BF140,0),13,FALSE)),"")</f>
        <v/>
      </c>
      <c r="BH140" s="127" t="str">
        <f ca="1">IF(BF140&lt;&gt;"",IF(ISNA(VLOOKUP($N140,OFFSET(選手情報!$A$6:$BD$119,BF140,0),56,FALSE)),"",VLOOKUP($N140,OFFSET(選手情報!$A$6:$BD$119,BF140,0),56,FALSE)),"")</f>
        <v/>
      </c>
      <c r="BI140" s="127" t="str">
        <f ca="1">IF(BH140&lt;&gt;"",IF(ISNA(VLOOKUP($N140,OFFSET(選手情報!$A$6:$M$119,BH140,0),13,FALSE)),"","/"&amp;VLOOKUP($N140,OFFSET(選手情報!$A$6:$M$119,BH140,0),13,FALSE)),"")</f>
        <v/>
      </c>
    </row>
    <row r="141" spans="1:61" s="127" customFormat="1" ht="12.6" customHeight="1">
      <c r="A141" s="128" t="str">
        <f>IF(ISNA(VLOOKUP($C$2&amp;N141,選手データ!A:H,3,FALSE)),"",IF(M141&lt;&gt;M140,VLOOKUP($C$2&amp;N141,選手データ!A:H,3,FALSE),""))</f>
        <v/>
      </c>
      <c r="B141" s="129" t="str">
        <f>IF(A141&lt;&gt;"",VLOOKUP($C$2&amp;N141,選手データ!A:H,4,FALSE),"")</f>
        <v/>
      </c>
      <c r="C141" s="129" t="str">
        <f>IF(A141&lt;&gt;"",VLOOKUP($C$2&amp;N141,選手データ!A:H,5,FALSE),"")</f>
        <v/>
      </c>
      <c r="D141" s="129" t="str">
        <f>IF(A141&lt;&gt;"",VLOOKUP($C$2&amp;N141,選手データ!A:H,6,FALSE),"")</f>
        <v/>
      </c>
      <c r="E141" s="129" t="str">
        <f>IF(A141&lt;&gt;"",VLOOKUP($C$2&amp;N141,選手データ!A:H,7,FALSE),"")</f>
        <v/>
      </c>
      <c r="F141" s="130" t="str">
        <f>IF(A141&lt;&gt;"",VLOOKUP($C$2&amp;N141,選手データ!A:H,8,FALSE),"")</f>
        <v/>
      </c>
      <c r="G141" s="130" t="str">
        <f>IF(F141&lt;&gt;"",IF(DATEDIF(F141,設定!$B$12,"Y")&lt;20,"〇",""),"")</f>
        <v/>
      </c>
      <c r="H141" s="131" t="str">
        <f t="shared" ca="1" si="19"/>
        <v/>
      </c>
      <c r="I141" s="132" t="str">
        <f t="shared" ca="1" si="20"/>
        <v/>
      </c>
      <c r="J141" s="131" t="str">
        <f t="shared" ca="1" si="21"/>
        <v/>
      </c>
      <c r="K141" s="130" t="str">
        <f>IF(A141&lt;&gt;"",IF(COUNTIF(リレーチーム情報!$B$17:$B$22,A141&amp;E141)=1,"〇",""),"")</f>
        <v/>
      </c>
      <c r="L141" s="133" t="str">
        <f>IF(A141&lt;&gt;"",IF(COUNTIF(リレーチーム情報!$B$23:$B$28,A141&amp;E141)=1,"〇",""),"")</f>
        <v/>
      </c>
      <c r="M141" s="127">
        <f>IF(学校情報!$A$4&lt;&gt;"",0,IF(S140=0,MAX($M$109:M140)+1,M140))</f>
        <v>0</v>
      </c>
      <c r="N141" s="127" t="str">
        <f>IF(M141&lt;&gt;0,VLOOKUP(M141,選手情報!BI:BJ,2,FALSE),"")</f>
        <v/>
      </c>
      <c r="O141" s="127" t="str">
        <f ca="1">IF(M141&lt;&gt;0,VLOOKUP(N141,OFFSET(選手情報!$A$6:$W$119,IF(M141&lt;&gt;M140,0,R140),0),13,FALSE),"")</f>
        <v/>
      </c>
      <c r="P141" s="127" t="str">
        <f ca="1">IF(M141&lt;&gt;0,VLOOKUP(N141,OFFSET(選手情報!$A$6:$W$119,IF(M141&lt;&gt;M140,0,R140),0),16,FALSE),"")</f>
        <v/>
      </c>
      <c r="Q141" s="127" t="str">
        <f ca="1">IF(M141&lt;&gt;0,VLOOKUP(N141,OFFSET(選手情報!$A$6:$W$119,IF(M141&lt;&gt;M140,0,R140),0),21,FALSE),"")</f>
        <v/>
      </c>
      <c r="R141" s="127">
        <f ca="1">IF(M141&lt;&gt;0,VLOOKUP(N141,OFFSET(選手情報!$A$6:$BD$119,IF(M141&lt;&gt;M140,0,R140),0),56,FALSE),0)</f>
        <v>0</v>
      </c>
      <c r="S141" s="127">
        <f ca="1">IF(M141&lt;&gt;0,IF(ISNA(R141),0,COUNTIF(OFFSET(選手情報!$A$6:$A$119,R141,0),N141)),0)</f>
        <v>0</v>
      </c>
      <c r="U141" s="127">
        <f t="shared" si="16"/>
        <v>0</v>
      </c>
      <c r="V141" s="127">
        <f t="shared" ca="1" si="17"/>
        <v>1</v>
      </c>
      <c r="W141" s="127">
        <f t="shared" ca="1" si="12"/>
        <v>0</v>
      </c>
      <c r="X141" s="127" t="str">
        <f t="shared" ca="1" si="18"/>
        <v/>
      </c>
      <c r="Y141" s="127" t="str">
        <f>IF($A141&lt;&gt;"",IF(ISNA(VLOOKUP($N141,選手情報!$A$6:$M$119,13,FALSE)),"","/"&amp;VLOOKUP($N141,選手情報!$A$6:$M$119,13,FALSE)),"")</f>
        <v/>
      </c>
      <c r="Z141" s="127" t="str">
        <f ca="1">IF(Y141&lt;&gt;"",IF(ISNA(VLOOKUP($N141,OFFSET(選手情報!$A$6:$BD$119,0,0),56,FALSE)),"",VLOOKUP($N141,OFFSET(選手情報!$A$6:$BD$119,0,0),56,FALSE)),"")</f>
        <v/>
      </c>
      <c r="AA141" s="127" t="str">
        <f ca="1">IF(Z141&lt;&gt;"",IF(ISNA(VLOOKUP($N141,OFFSET(選手情報!$A$6:$M$119,Z141,0),13,FALSE)),"","/"&amp;VLOOKUP($N141,OFFSET(選手情報!$A$6:$M$119,Z141,0),13,FALSE)),"")</f>
        <v/>
      </c>
      <c r="AB141" s="127" t="str">
        <f ca="1">IF(Z141&lt;&gt;"",IF(ISNA(VLOOKUP($N141,OFFSET(選手情報!$A$6:$BD$119,Z141,0),56,FALSE)),"",VLOOKUP($N141,OFFSET(選手情報!$A$6:$BD$119,Z141,0),56,FALSE)),"")</f>
        <v/>
      </c>
      <c r="AC141" s="127" t="str">
        <f ca="1">IF(AB141&lt;&gt;"",IF(ISNA(VLOOKUP($N141,OFFSET(選手情報!$A$6:$M$119,AB141,0),13,FALSE)),"","/"&amp;VLOOKUP($N141,OFFSET(選手情報!$A$6:$M$119,AB141,0),13,FALSE)),"")</f>
        <v/>
      </c>
      <c r="AD141" s="127" t="str">
        <f ca="1">IF(AB141&lt;&gt;"",IF(ISNA(VLOOKUP($N141,OFFSET(選手情報!$A$6:$BD$119,AB141,0),56,FALSE)),"",VLOOKUP($N141,OFFSET(選手情報!$A$6:$BD$119,AB141,0),56,FALSE)),"")</f>
        <v/>
      </c>
      <c r="AE141" s="127" t="str">
        <f ca="1">IF(AD141&lt;&gt;"",IF(ISNA(VLOOKUP($N141,OFFSET(選手情報!$A$6:$M$119,AD141,0),13,FALSE)),"","/"&amp;VLOOKUP($N141,OFFSET(選手情報!$A$6:$M$119,AD141,0),13,FALSE)),"")</f>
        <v/>
      </c>
      <c r="AF141" s="127" t="str">
        <f ca="1">IF(AD141&lt;&gt;"",IF(ISNA(VLOOKUP($N141,OFFSET(選手情報!$A$6:$BD$119,AD141,0),56,FALSE)),"",VLOOKUP($N141,OFFSET(選手情報!$A$6:$BD$119,AD141,0),56,FALSE)),"")</f>
        <v/>
      </c>
      <c r="AG141" s="127" t="str">
        <f ca="1">IF(AF141&lt;&gt;"",IF(ISNA(VLOOKUP($N141,OFFSET(選手情報!$A$6:$M$119,AF141,0),13,FALSE)),"","/"&amp;VLOOKUP($N141,OFFSET(選手情報!$A$6:$M$119,AF141,0),13,FALSE)),"")</f>
        <v/>
      </c>
      <c r="AH141" s="127" t="str">
        <f ca="1">IF(AF141&lt;&gt;"",IF(ISNA(VLOOKUP($N141,OFFSET(選手情報!$A$6:$BD$119,AF141,0),56,FALSE)),"",VLOOKUP($N141,OFFSET(選手情報!$A$6:$BD$119,AF141,0),56,FALSE)),"")</f>
        <v/>
      </c>
      <c r="AI141" s="127" t="str">
        <f ca="1">IF(AH141&lt;&gt;"",IF(ISNA(VLOOKUP($N141,OFFSET(選手情報!$A$6:$M$119,AH141,0),13,FALSE)),"","/"&amp;VLOOKUP($N141,OFFSET(選手情報!$A$6:$M$119,AH141,0),13,FALSE)),"")</f>
        <v/>
      </c>
      <c r="AJ141" s="127" t="str">
        <f ca="1">IF(AH141&lt;&gt;"",IF(ISNA(VLOOKUP($N141,OFFSET(選手情報!$A$6:$BD$119,AH141,0),56,FALSE)),"",VLOOKUP($N141,OFFSET(選手情報!$A$6:$BD$119,AH141,0),56,FALSE)),"")</f>
        <v/>
      </c>
      <c r="AK141" s="127" t="str">
        <f ca="1">IF(AJ141&lt;&gt;"",IF(ISNA(VLOOKUP($N141,OFFSET(選手情報!$A$6:$M$119,AJ141,0),13,FALSE)),"","/"&amp;VLOOKUP($N141,OFFSET(選手情報!$A$6:$M$119,AJ141,0),13,FALSE)),"")</f>
        <v/>
      </c>
      <c r="AL141" s="127" t="str">
        <f ca="1">IF(AJ141&lt;&gt;"",IF(ISNA(VLOOKUP($N141,OFFSET(選手情報!$A$6:$BD$119,AJ141,0),56,FALSE)),"",VLOOKUP($N141,OFFSET(選手情報!$A$6:$BD$119,AJ141,0),56,FALSE)),"")</f>
        <v/>
      </c>
      <c r="AM141" s="127" t="str">
        <f ca="1">IF(AL141&lt;&gt;"",IF(ISNA(VLOOKUP($N141,OFFSET(選手情報!$A$6:$M$119,AL141,0),13,FALSE)),"","/"&amp;VLOOKUP($N141,OFFSET(選手情報!$A$6:$M$119,AL141,0),13,FALSE)),"")</f>
        <v/>
      </c>
      <c r="AN141" s="127" t="str">
        <f ca="1">IF(AL141&lt;&gt;"",IF(ISNA(VLOOKUP($N141,OFFSET(選手情報!$A$6:$BD$119,AL141,0),56,FALSE)),"",VLOOKUP($N141,OFFSET(選手情報!$A$6:$BD$119,AL141,0),56,FALSE)),"")</f>
        <v/>
      </c>
      <c r="AO141" s="127" t="str">
        <f ca="1">IF(AN141&lt;&gt;"",IF(ISNA(VLOOKUP($N141,OFFSET(選手情報!$A$6:$M$119,AN141,0),13,FALSE)),"","/"&amp;VLOOKUP($N141,OFFSET(選手情報!$A$6:$M$119,AN141,0),13,FALSE)),"")</f>
        <v/>
      </c>
      <c r="AP141" s="127" t="str">
        <f ca="1">IF(AN141&lt;&gt;"",IF(ISNA(VLOOKUP($N141,OFFSET(選手情報!$A$6:$BD$119,AN141,0),56,FALSE)),"",VLOOKUP($N141,OFFSET(選手情報!$A$6:$BD$119,AN141,0),56,FALSE)),"")</f>
        <v/>
      </c>
      <c r="AQ141" s="127" t="str">
        <f ca="1">IF(AP141&lt;&gt;"",IF(ISNA(VLOOKUP($N141,OFFSET(選手情報!$A$6:$M$119,AP141,0),13,FALSE)),"","/"&amp;VLOOKUP($N141,OFFSET(選手情報!$A$6:$M$119,AP141,0),13,FALSE)),"")</f>
        <v/>
      </c>
      <c r="AR141" s="127" t="str">
        <f ca="1">IF(AP141&lt;&gt;"",IF(ISNA(VLOOKUP($N141,OFFSET(選手情報!$A$6:$BD$119,AP141,0),56,FALSE)),"",VLOOKUP($N141,OFFSET(選手情報!$A$6:$BD$119,AP141,0),56,FALSE)),"")</f>
        <v/>
      </c>
      <c r="AS141" s="127" t="str">
        <f ca="1">IF(AR141&lt;&gt;"",IF(ISNA(VLOOKUP($N141,OFFSET(選手情報!$A$6:$M$119,AR141,0),13,FALSE)),"","/"&amp;VLOOKUP($N141,OFFSET(選手情報!$A$6:$M$119,AR141,0),13,FALSE)),"")</f>
        <v/>
      </c>
      <c r="AT141" s="127" t="str">
        <f ca="1">IF(AR141&lt;&gt;"",IF(ISNA(VLOOKUP($N141,OFFSET(選手情報!$A$6:$BD$119,AR141,0),56,FALSE)),"",VLOOKUP($N141,OFFSET(選手情報!$A$6:$BD$119,AR141,0),56,FALSE)),"")</f>
        <v/>
      </c>
      <c r="AU141" s="127" t="str">
        <f ca="1">IF(AT141&lt;&gt;"",IF(ISNA(VLOOKUP($N141,OFFSET(選手情報!$A$6:$M$119,AT141,0),13,FALSE)),"","/"&amp;VLOOKUP($N141,OFFSET(選手情報!$A$6:$M$119,AT141,0),13,FALSE)),"")</f>
        <v/>
      </c>
      <c r="AV141" s="127" t="str">
        <f ca="1">IF(AT141&lt;&gt;"",IF(ISNA(VLOOKUP($N141,OFFSET(選手情報!$A$6:$BD$119,AT141,0),56,FALSE)),"",VLOOKUP($N141,OFFSET(選手情報!$A$6:$BD$119,AT141,0),56,FALSE)),"")</f>
        <v/>
      </c>
      <c r="AW141" s="127" t="str">
        <f ca="1">IF(AV141&lt;&gt;"",IF(ISNA(VLOOKUP($N141,OFFSET(選手情報!$A$6:$M$119,AV141,0),13,FALSE)),"","/"&amp;VLOOKUP($N141,OFFSET(選手情報!$A$6:$M$119,AV141,0),13,FALSE)),"")</f>
        <v/>
      </c>
      <c r="AX141" s="127" t="str">
        <f ca="1">IF(AV141&lt;&gt;"",IF(ISNA(VLOOKUP($N141,OFFSET(選手情報!$A$6:$BD$119,AV141,0),56,FALSE)),"",VLOOKUP($N141,OFFSET(選手情報!$A$6:$BD$119,AV141,0),56,FALSE)),"")</f>
        <v/>
      </c>
      <c r="AY141" s="127" t="str">
        <f ca="1">IF(AX141&lt;&gt;"",IF(ISNA(VLOOKUP($N141,OFFSET(選手情報!$A$6:$M$119,AX141,0),13,FALSE)),"","/"&amp;VLOOKUP($N141,OFFSET(選手情報!$A$6:$M$119,AX141,0),13,FALSE)),"")</f>
        <v/>
      </c>
      <c r="AZ141" s="127" t="str">
        <f ca="1">IF(AX141&lt;&gt;"",IF(ISNA(VLOOKUP($N141,OFFSET(選手情報!$A$6:$BD$119,AX141,0),56,FALSE)),"",VLOOKUP($N141,OFFSET(選手情報!$A$6:$BD$119,AX141,0),56,FALSE)),"")</f>
        <v/>
      </c>
      <c r="BA141" s="127" t="str">
        <f ca="1">IF(AZ141&lt;&gt;"",IF(ISNA(VLOOKUP($N141,OFFSET(選手情報!$A$6:$M$119,AZ141,0),13,FALSE)),"","/"&amp;VLOOKUP($N141,OFFSET(選手情報!$A$6:$M$119,AZ141,0),13,FALSE)),"")</f>
        <v/>
      </c>
      <c r="BB141" s="127" t="str">
        <f ca="1">IF(AZ141&lt;&gt;"",IF(ISNA(VLOOKUP($N141,OFFSET(選手情報!$A$6:$BD$119,AZ141,0),56,FALSE)),"",VLOOKUP($N141,OFFSET(選手情報!$A$6:$BD$119,AZ141,0),56,FALSE)),"")</f>
        <v/>
      </c>
      <c r="BC141" s="127" t="str">
        <f ca="1">IF(BB141&lt;&gt;"",IF(ISNA(VLOOKUP($N141,OFFSET(選手情報!$A$6:$M$119,BB141,0),13,FALSE)),"","/"&amp;VLOOKUP($N141,OFFSET(選手情報!$A$6:$M$119,BB141,0),13,FALSE)),"")</f>
        <v/>
      </c>
      <c r="BD141" s="127" t="str">
        <f ca="1">IF(BB141&lt;&gt;"",IF(ISNA(VLOOKUP($N141,OFFSET(選手情報!$A$6:$BD$119,BB141,0),56,FALSE)),"",VLOOKUP($N141,OFFSET(選手情報!$A$6:$BD$119,BB141,0),56,FALSE)),"")</f>
        <v/>
      </c>
      <c r="BE141" s="127" t="str">
        <f ca="1">IF(BD141&lt;&gt;"",IF(ISNA(VLOOKUP($N141,OFFSET(選手情報!$A$6:$M$119,BD141,0),13,FALSE)),"","/"&amp;VLOOKUP($N141,OFFSET(選手情報!$A$6:$M$119,BD141,0),13,FALSE)),"")</f>
        <v/>
      </c>
      <c r="BF141" s="127" t="str">
        <f ca="1">IF(BD141&lt;&gt;"",IF(ISNA(VLOOKUP($N141,OFFSET(選手情報!$A$6:$BD$119,BD141,0),56,FALSE)),"",VLOOKUP($N141,OFFSET(選手情報!$A$6:$BD$119,BD141,0),56,FALSE)),"")</f>
        <v/>
      </c>
      <c r="BG141" s="127" t="str">
        <f ca="1">IF(BF141&lt;&gt;"",IF(ISNA(VLOOKUP($N141,OFFSET(選手情報!$A$6:$M$119,BF141,0),13,FALSE)),"","/"&amp;VLOOKUP($N141,OFFSET(選手情報!$A$6:$M$119,BF141,0),13,FALSE)),"")</f>
        <v/>
      </c>
      <c r="BH141" s="127" t="str">
        <f ca="1">IF(BF141&lt;&gt;"",IF(ISNA(VLOOKUP($N141,OFFSET(選手情報!$A$6:$BD$119,BF141,0),56,FALSE)),"",VLOOKUP($N141,OFFSET(選手情報!$A$6:$BD$119,BF141,0),56,FALSE)),"")</f>
        <v/>
      </c>
      <c r="BI141" s="127" t="str">
        <f ca="1">IF(BH141&lt;&gt;"",IF(ISNA(VLOOKUP($N141,OFFSET(選手情報!$A$6:$M$119,BH141,0),13,FALSE)),"","/"&amp;VLOOKUP($N141,OFFSET(選手情報!$A$6:$M$119,BH141,0),13,FALSE)),"")</f>
        <v/>
      </c>
    </row>
    <row r="142" spans="1:61" s="127" customFormat="1" ht="12.6" customHeight="1">
      <c r="A142" s="128" t="str">
        <f>IF(ISNA(VLOOKUP($C$2&amp;N142,選手データ!A:H,3,FALSE)),"",IF(M142&lt;&gt;M141,VLOOKUP($C$2&amp;N142,選手データ!A:H,3,FALSE),""))</f>
        <v/>
      </c>
      <c r="B142" s="129" t="str">
        <f>IF(A142&lt;&gt;"",VLOOKUP($C$2&amp;N142,選手データ!A:H,4,FALSE),"")</f>
        <v/>
      </c>
      <c r="C142" s="129" t="str">
        <f>IF(A142&lt;&gt;"",VLOOKUP($C$2&amp;N142,選手データ!A:H,5,FALSE),"")</f>
        <v/>
      </c>
      <c r="D142" s="129" t="str">
        <f>IF(A142&lt;&gt;"",VLOOKUP($C$2&amp;N142,選手データ!A:H,6,FALSE),"")</f>
        <v/>
      </c>
      <c r="E142" s="129" t="str">
        <f>IF(A142&lt;&gt;"",VLOOKUP($C$2&amp;N142,選手データ!A:H,7,FALSE),"")</f>
        <v/>
      </c>
      <c r="F142" s="130" t="str">
        <f>IF(A142&lt;&gt;"",VLOOKUP($C$2&amp;N142,選手データ!A:H,8,FALSE),"")</f>
        <v/>
      </c>
      <c r="G142" s="130" t="str">
        <f>IF(F142&lt;&gt;"",IF(DATEDIF(F142,設定!$B$12,"Y")&lt;20,"〇",""),"")</f>
        <v/>
      </c>
      <c r="H142" s="131" t="str">
        <f t="shared" ca="1" si="19"/>
        <v/>
      </c>
      <c r="I142" s="132" t="str">
        <f t="shared" ca="1" si="20"/>
        <v/>
      </c>
      <c r="J142" s="131" t="str">
        <f t="shared" ca="1" si="21"/>
        <v/>
      </c>
      <c r="K142" s="130" t="str">
        <f>IF(A142&lt;&gt;"",IF(COUNTIF(リレーチーム情報!$B$17:$B$22,A142&amp;E142)=1,"〇",""),"")</f>
        <v/>
      </c>
      <c r="L142" s="133" t="str">
        <f>IF(A142&lt;&gt;"",IF(COUNTIF(リレーチーム情報!$B$23:$B$28,A142&amp;E142)=1,"〇",""),"")</f>
        <v/>
      </c>
      <c r="M142" s="127">
        <f>IF(学校情報!$A$4&lt;&gt;"",0,IF(S141=0,MAX($M$109:M141)+1,M141))</f>
        <v>0</v>
      </c>
      <c r="N142" s="127" t="str">
        <f>IF(M142&lt;&gt;0,VLOOKUP(M142,選手情報!BI:BJ,2,FALSE),"")</f>
        <v/>
      </c>
      <c r="O142" s="127" t="str">
        <f ca="1">IF(M142&lt;&gt;0,VLOOKUP(N142,OFFSET(選手情報!$A$6:$W$119,IF(M142&lt;&gt;M141,0,R141),0),13,FALSE),"")</f>
        <v/>
      </c>
      <c r="P142" s="127" t="str">
        <f ca="1">IF(M142&lt;&gt;0,VLOOKUP(N142,OFFSET(選手情報!$A$6:$W$119,IF(M142&lt;&gt;M141,0,R141),0),16,FALSE),"")</f>
        <v/>
      </c>
      <c r="Q142" s="127" t="str">
        <f ca="1">IF(M142&lt;&gt;0,VLOOKUP(N142,OFFSET(選手情報!$A$6:$W$119,IF(M142&lt;&gt;M141,0,R141),0),21,FALSE),"")</f>
        <v/>
      </c>
      <c r="R142" s="127">
        <f ca="1">IF(M142&lt;&gt;0,VLOOKUP(N142,OFFSET(選手情報!$A$6:$BD$119,IF(M142&lt;&gt;M141,0,R141),0),56,FALSE),0)</f>
        <v>0</v>
      </c>
      <c r="S142" s="127">
        <f ca="1">IF(M142&lt;&gt;0,IF(ISNA(R142),0,COUNTIF(OFFSET(選手情報!$A$6:$A$119,R142,0),N142)),0)</f>
        <v>0</v>
      </c>
      <c r="U142" s="127">
        <f t="shared" si="16"/>
        <v>0</v>
      </c>
      <c r="V142" s="127">
        <f t="shared" ca="1" si="17"/>
        <v>1</v>
      </c>
      <c r="W142" s="127">
        <f t="shared" ca="1" si="12"/>
        <v>0</v>
      </c>
      <c r="X142" s="127" t="str">
        <f t="shared" ca="1" si="18"/>
        <v/>
      </c>
      <c r="Y142" s="127" t="str">
        <f>IF($A142&lt;&gt;"",IF(ISNA(VLOOKUP($N142,選手情報!$A$6:$M$119,13,FALSE)),"","/"&amp;VLOOKUP($N142,選手情報!$A$6:$M$119,13,FALSE)),"")</f>
        <v/>
      </c>
      <c r="Z142" s="127" t="str">
        <f ca="1">IF(Y142&lt;&gt;"",IF(ISNA(VLOOKUP($N142,OFFSET(選手情報!$A$6:$BD$119,0,0),56,FALSE)),"",VLOOKUP($N142,OFFSET(選手情報!$A$6:$BD$119,0,0),56,FALSE)),"")</f>
        <v/>
      </c>
      <c r="AA142" s="127" t="str">
        <f ca="1">IF(Z142&lt;&gt;"",IF(ISNA(VLOOKUP($N142,OFFSET(選手情報!$A$6:$M$119,Z142,0),13,FALSE)),"","/"&amp;VLOOKUP($N142,OFFSET(選手情報!$A$6:$M$119,Z142,0),13,FALSE)),"")</f>
        <v/>
      </c>
      <c r="AB142" s="127" t="str">
        <f ca="1">IF(Z142&lt;&gt;"",IF(ISNA(VLOOKUP($N142,OFFSET(選手情報!$A$6:$BD$119,Z142,0),56,FALSE)),"",VLOOKUP($N142,OFFSET(選手情報!$A$6:$BD$119,Z142,0),56,FALSE)),"")</f>
        <v/>
      </c>
      <c r="AC142" s="127" t="str">
        <f ca="1">IF(AB142&lt;&gt;"",IF(ISNA(VLOOKUP($N142,OFFSET(選手情報!$A$6:$M$119,AB142,0),13,FALSE)),"","/"&amp;VLOOKUP($N142,OFFSET(選手情報!$A$6:$M$119,AB142,0),13,FALSE)),"")</f>
        <v/>
      </c>
      <c r="AD142" s="127" t="str">
        <f ca="1">IF(AB142&lt;&gt;"",IF(ISNA(VLOOKUP($N142,OFFSET(選手情報!$A$6:$BD$119,AB142,0),56,FALSE)),"",VLOOKUP($N142,OFFSET(選手情報!$A$6:$BD$119,AB142,0),56,FALSE)),"")</f>
        <v/>
      </c>
      <c r="AE142" s="127" t="str">
        <f ca="1">IF(AD142&lt;&gt;"",IF(ISNA(VLOOKUP($N142,OFFSET(選手情報!$A$6:$M$119,AD142,0),13,FALSE)),"","/"&amp;VLOOKUP($N142,OFFSET(選手情報!$A$6:$M$119,AD142,0),13,FALSE)),"")</f>
        <v/>
      </c>
      <c r="AF142" s="127" t="str">
        <f ca="1">IF(AD142&lt;&gt;"",IF(ISNA(VLOOKUP($N142,OFFSET(選手情報!$A$6:$BD$119,AD142,0),56,FALSE)),"",VLOOKUP($N142,OFFSET(選手情報!$A$6:$BD$119,AD142,0),56,FALSE)),"")</f>
        <v/>
      </c>
      <c r="AG142" s="127" t="str">
        <f ca="1">IF(AF142&lt;&gt;"",IF(ISNA(VLOOKUP($N142,OFFSET(選手情報!$A$6:$M$119,AF142,0),13,FALSE)),"","/"&amp;VLOOKUP($N142,OFFSET(選手情報!$A$6:$M$119,AF142,0),13,FALSE)),"")</f>
        <v/>
      </c>
      <c r="AH142" s="127" t="str">
        <f ca="1">IF(AF142&lt;&gt;"",IF(ISNA(VLOOKUP($N142,OFFSET(選手情報!$A$6:$BD$119,AF142,0),56,FALSE)),"",VLOOKUP($N142,OFFSET(選手情報!$A$6:$BD$119,AF142,0),56,FALSE)),"")</f>
        <v/>
      </c>
      <c r="AI142" s="127" t="str">
        <f ca="1">IF(AH142&lt;&gt;"",IF(ISNA(VLOOKUP($N142,OFFSET(選手情報!$A$6:$M$119,AH142,0),13,FALSE)),"","/"&amp;VLOOKUP($N142,OFFSET(選手情報!$A$6:$M$119,AH142,0),13,FALSE)),"")</f>
        <v/>
      </c>
      <c r="AJ142" s="127" t="str">
        <f ca="1">IF(AH142&lt;&gt;"",IF(ISNA(VLOOKUP($N142,OFFSET(選手情報!$A$6:$BD$119,AH142,0),56,FALSE)),"",VLOOKUP($N142,OFFSET(選手情報!$A$6:$BD$119,AH142,0),56,FALSE)),"")</f>
        <v/>
      </c>
      <c r="AK142" s="127" t="str">
        <f ca="1">IF(AJ142&lt;&gt;"",IF(ISNA(VLOOKUP($N142,OFFSET(選手情報!$A$6:$M$119,AJ142,0),13,FALSE)),"","/"&amp;VLOOKUP($N142,OFFSET(選手情報!$A$6:$M$119,AJ142,0),13,FALSE)),"")</f>
        <v/>
      </c>
      <c r="AL142" s="127" t="str">
        <f ca="1">IF(AJ142&lt;&gt;"",IF(ISNA(VLOOKUP($N142,OFFSET(選手情報!$A$6:$BD$119,AJ142,0),56,FALSE)),"",VLOOKUP($N142,OFFSET(選手情報!$A$6:$BD$119,AJ142,0),56,FALSE)),"")</f>
        <v/>
      </c>
      <c r="AM142" s="127" t="str">
        <f ca="1">IF(AL142&lt;&gt;"",IF(ISNA(VLOOKUP($N142,OFFSET(選手情報!$A$6:$M$119,AL142,0),13,FALSE)),"","/"&amp;VLOOKUP($N142,OFFSET(選手情報!$A$6:$M$119,AL142,0),13,FALSE)),"")</f>
        <v/>
      </c>
      <c r="AN142" s="127" t="str">
        <f ca="1">IF(AL142&lt;&gt;"",IF(ISNA(VLOOKUP($N142,OFFSET(選手情報!$A$6:$BD$119,AL142,0),56,FALSE)),"",VLOOKUP($N142,OFFSET(選手情報!$A$6:$BD$119,AL142,0),56,FALSE)),"")</f>
        <v/>
      </c>
      <c r="AO142" s="127" t="str">
        <f ca="1">IF(AN142&lt;&gt;"",IF(ISNA(VLOOKUP($N142,OFFSET(選手情報!$A$6:$M$119,AN142,0),13,FALSE)),"","/"&amp;VLOOKUP($N142,OFFSET(選手情報!$A$6:$M$119,AN142,0),13,FALSE)),"")</f>
        <v/>
      </c>
      <c r="AP142" s="127" t="str">
        <f ca="1">IF(AN142&lt;&gt;"",IF(ISNA(VLOOKUP($N142,OFFSET(選手情報!$A$6:$BD$119,AN142,0),56,FALSE)),"",VLOOKUP($N142,OFFSET(選手情報!$A$6:$BD$119,AN142,0),56,FALSE)),"")</f>
        <v/>
      </c>
      <c r="AQ142" s="127" t="str">
        <f ca="1">IF(AP142&lt;&gt;"",IF(ISNA(VLOOKUP($N142,OFFSET(選手情報!$A$6:$M$119,AP142,0),13,FALSE)),"","/"&amp;VLOOKUP($N142,OFFSET(選手情報!$A$6:$M$119,AP142,0),13,FALSE)),"")</f>
        <v/>
      </c>
      <c r="AR142" s="127" t="str">
        <f ca="1">IF(AP142&lt;&gt;"",IF(ISNA(VLOOKUP($N142,OFFSET(選手情報!$A$6:$BD$119,AP142,0),56,FALSE)),"",VLOOKUP($N142,OFFSET(選手情報!$A$6:$BD$119,AP142,0),56,FALSE)),"")</f>
        <v/>
      </c>
      <c r="AS142" s="127" t="str">
        <f ca="1">IF(AR142&lt;&gt;"",IF(ISNA(VLOOKUP($N142,OFFSET(選手情報!$A$6:$M$119,AR142,0),13,FALSE)),"","/"&amp;VLOOKUP($N142,OFFSET(選手情報!$A$6:$M$119,AR142,0),13,FALSE)),"")</f>
        <v/>
      </c>
      <c r="AT142" s="127" t="str">
        <f ca="1">IF(AR142&lt;&gt;"",IF(ISNA(VLOOKUP($N142,OFFSET(選手情報!$A$6:$BD$119,AR142,0),56,FALSE)),"",VLOOKUP($N142,OFFSET(選手情報!$A$6:$BD$119,AR142,0),56,FALSE)),"")</f>
        <v/>
      </c>
      <c r="AU142" s="127" t="str">
        <f ca="1">IF(AT142&lt;&gt;"",IF(ISNA(VLOOKUP($N142,OFFSET(選手情報!$A$6:$M$119,AT142,0),13,FALSE)),"","/"&amp;VLOOKUP($N142,OFFSET(選手情報!$A$6:$M$119,AT142,0),13,FALSE)),"")</f>
        <v/>
      </c>
      <c r="AV142" s="127" t="str">
        <f ca="1">IF(AT142&lt;&gt;"",IF(ISNA(VLOOKUP($N142,OFFSET(選手情報!$A$6:$BD$119,AT142,0),56,FALSE)),"",VLOOKUP($N142,OFFSET(選手情報!$A$6:$BD$119,AT142,0),56,FALSE)),"")</f>
        <v/>
      </c>
      <c r="AW142" s="127" t="str">
        <f ca="1">IF(AV142&lt;&gt;"",IF(ISNA(VLOOKUP($N142,OFFSET(選手情報!$A$6:$M$119,AV142,0),13,FALSE)),"","/"&amp;VLOOKUP($N142,OFFSET(選手情報!$A$6:$M$119,AV142,0),13,FALSE)),"")</f>
        <v/>
      </c>
      <c r="AX142" s="127" t="str">
        <f ca="1">IF(AV142&lt;&gt;"",IF(ISNA(VLOOKUP($N142,OFFSET(選手情報!$A$6:$BD$119,AV142,0),56,FALSE)),"",VLOOKUP($N142,OFFSET(選手情報!$A$6:$BD$119,AV142,0),56,FALSE)),"")</f>
        <v/>
      </c>
      <c r="AY142" s="127" t="str">
        <f ca="1">IF(AX142&lt;&gt;"",IF(ISNA(VLOOKUP($N142,OFFSET(選手情報!$A$6:$M$119,AX142,0),13,FALSE)),"","/"&amp;VLOOKUP($N142,OFFSET(選手情報!$A$6:$M$119,AX142,0),13,FALSE)),"")</f>
        <v/>
      </c>
      <c r="AZ142" s="127" t="str">
        <f ca="1">IF(AX142&lt;&gt;"",IF(ISNA(VLOOKUP($N142,OFFSET(選手情報!$A$6:$BD$119,AX142,0),56,FALSE)),"",VLOOKUP($N142,OFFSET(選手情報!$A$6:$BD$119,AX142,0),56,FALSE)),"")</f>
        <v/>
      </c>
      <c r="BA142" s="127" t="str">
        <f ca="1">IF(AZ142&lt;&gt;"",IF(ISNA(VLOOKUP($N142,OFFSET(選手情報!$A$6:$M$119,AZ142,0),13,FALSE)),"","/"&amp;VLOOKUP($N142,OFFSET(選手情報!$A$6:$M$119,AZ142,0),13,FALSE)),"")</f>
        <v/>
      </c>
      <c r="BB142" s="127" t="str">
        <f ca="1">IF(AZ142&lt;&gt;"",IF(ISNA(VLOOKUP($N142,OFFSET(選手情報!$A$6:$BD$119,AZ142,0),56,FALSE)),"",VLOOKUP($N142,OFFSET(選手情報!$A$6:$BD$119,AZ142,0),56,FALSE)),"")</f>
        <v/>
      </c>
      <c r="BC142" s="127" t="str">
        <f ca="1">IF(BB142&lt;&gt;"",IF(ISNA(VLOOKUP($N142,OFFSET(選手情報!$A$6:$M$119,BB142,0),13,FALSE)),"","/"&amp;VLOOKUP($N142,OFFSET(選手情報!$A$6:$M$119,BB142,0),13,FALSE)),"")</f>
        <v/>
      </c>
      <c r="BD142" s="127" t="str">
        <f ca="1">IF(BB142&lt;&gt;"",IF(ISNA(VLOOKUP($N142,OFFSET(選手情報!$A$6:$BD$119,BB142,0),56,FALSE)),"",VLOOKUP($N142,OFFSET(選手情報!$A$6:$BD$119,BB142,0),56,FALSE)),"")</f>
        <v/>
      </c>
      <c r="BE142" s="127" t="str">
        <f ca="1">IF(BD142&lt;&gt;"",IF(ISNA(VLOOKUP($N142,OFFSET(選手情報!$A$6:$M$119,BD142,0),13,FALSE)),"","/"&amp;VLOOKUP($N142,OFFSET(選手情報!$A$6:$M$119,BD142,0),13,FALSE)),"")</f>
        <v/>
      </c>
      <c r="BF142" s="127" t="str">
        <f ca="1">IF(BD142&lt;&gt;"",IF(ISNA(VLOOKUP($N142,OFFSET(選手情報!$A$6:$BD$119,BD142,0),56,FALSE)),"",VLOOKUP($N142,OFFSET(選手情報!$A$6:$BD$119,BD142,0),56,FALSE)),"")</f>
        <v/>
      </c>
      <c r="BG142" s="127" t="str">
        <f ca="1">IF(BF142&lt;&gt;"",IF(ISNA(VLOOKUP($N142,OFFSET(選手情報!$A$6:$M$119,BF142,0),13,FALSE)),"","/"&amp;VLOOKUP($N142,OFFSET(選手情報!$A$6:$M$119,BF142,0),13,FALSE)),"")</f>
        <v/>
      </c>
      <c r="BH142" s="127" t="str">
        <f ca="1">IF(BF142&lt;&gt;"",IF(ISNA(VLOOKUP($N142,OFFSET(選手情報!$A$6:$BD$119,BF142,0),56,FALSE)),"",VLOOKUP($N142,OFFSET(選手情報!$A$6:$BD$119,BF142,0),56,FALSE)),"")</f>
        <v/>
      </c>
      <c r="BI142" s="127" t="str">
        <f ca="1">IF(BH142&lt;&gt;"",IF(ISNA(VLOOKUP($N142,OFFSET(選手情報!$A$6:$M$119,BH142,0),13,FALSE)),"","/"&amp;VLOOKUP($N142,OFFSET(選手情報!$A$6:$M$119,BH142,0),13,FALSE)),"")</f>
        <v/>
      </c>
    </row>
    <row r="143" spans="1:61" s="127" customFormat="1" ht="12.6" customHeight="1">
      <c r="A143" s="128" t="str">
        <f>IF(ISNA(VLOOKUP($C$2&amp;N143,選手データ!A:H,3,FALSE)),"",IF(M143&lt;&gt;M142,VLOOKUP($C$2&amp;N143,選手データ!A:H,3,FALSE),""))</f>
        <v/>
      </c>
      <c r="B143" s="129" t="str">
        <f>IF(A143&lt;&gt;"",VLOOKUP($C$2&amp;N143,選手データ!A:H,4,FALSE),"")</f>
        <v/>
      </c>
      <c r="C143" s="129" t="str">
        <f>IF(A143&lt;&gt;"",VLOOKUP($C$2&amp;N143,選手データ!A:H,5,FALSE),"")</f>
        <v/>
      </c>
      <c r="D143" s="129" t="str">
        <f>IF(A143&lt;&gt;"",VLOOKUP($C$2&amp;N143,選手データ!A:H,6,FALSE),"")</f>
        <v/>
      </c>
      <c r="E143" s="129" t="str">
        <f>IF(A143&lt;&gt;"",VLOOKUP($C$2&amp;N143,選手データ!A:H,7,FALSE),"")</f>
        <v/>
      </c>
      <c r="F143" s="130" t="str">
        <f>IF(A143&lt;&gt;"",VLOOKUP($C$2&amp;N143,選手データ!A:H,8,FALSE),"")</f>
        <v/>
      </c>
      <c r="G143" s="130" t="str">
        <f>IF(F143&lt;&gt;"",IF(DATEDIF(F143,設定!$B$12,"Y")&lt;20,"〇",""),"")</f>
        <v/>
      </c>
      <c r="H143" s="131" t="str">
        <f t="shared" ca="1" si="19"/>
        <v/>
      </c>
      <c r="I143" s="132" t="str">
        <f t="shared" ca="1" si="20"/>
        <v/>
      </c>
      <c r="J143" s="131" t="str">
        <f t="shared" ca="1" si="21"/>
        <v/>
      </c>
      <c r="K143" s="130" t="str">
        <f>IF(A143&lt;&gt;"",IF(COUNTIF(リレーチーム情報!$B$17:$B$22,A143&amp;E143)=1,"〇",""),"")</f>
        <v/>
      </c>
      <c r="L143" s="133" t="str">
        <f>IF(A143&lt;&gt;"",IF(COUNTIF(リレーチーム情報!$B$23:$B$28,A143&amp;E143)=1,"〇",""),"")</f>
        <v/>
      </c>
      <c r="M143" s="127">
        <f>IF(学校情報!$A$4&lt;&gt;"",0,IF(S142=0,MAX($M$109:M142)+1,M142))</f>
        <v>0</v>
      </c>
      <c r="N143" s="127" t="str">
        <f>IF(M143&lt;&gt;0,VLOOKUP(M143,選手情報!BI:BJ,2,FALSE),"")</f>
        <v/>
      </c>
      <c r="O143" s="127" t="str">
        <f ca="1">IF(M143&lt;&gt;0,VLOOKUP(N143,OFFSET(選手情報!$A$6:$W$119,IF(M143&lt;&gt;M142,0,R142),0),13,FALSE),"")</f>
        <v/>
      </c>
      <c r="P143" s="127" t="str">
        <f ca="1">IF(M143&lt;&gt;0,VLOOKUP(N143,OFFSET(選手情報!$A$6:$W$119,IF(M143&lt;&gt;M142,0,R142),0),16,FALSE),"")</f>
        <v/>
      </c>
      <c r="Q143" s="127" t="str">
        <f ca="1">IF(M143&lt;&gt;0,VLOOKUP(N143,OFFSET(選手情報!$A$6:$W$119,IF(M143&lt;&gt;M142,0,R142),0),21,FALSE),"")</f>
        <v/>
      </c>
      <c r="R143" s="127">
        <f ca="1">IF(M143&lt;&gt;0,VLOOKUP(N143,OFFSET(選手情報!$A$6:$BD$119,IF(M143&lt;&gt;M142,0,R142),0),56,FALSE),0)</f>
        <v>0</v>
      </c>
      <c r="S143" s="127">
        <f ca="1">IF(M143&lt;&gt;0,IF(ISNA(R143),0,COUNTIF(OFFSET(選手情報!$A$6:$A$119,R143,0),N143)),0)</f>
        <v>0</v>
      </c>
      <c r="U143" s="127">
        <f t="shared" si="16"/>
        <v>0</v>
      </c>
      <c r="V143" s="127">
        <f t="shared" ca="1" si="17"/>
        <v>1</v>
      </c>
      <c r="W143" s="127">
        <f t="shared" ca="1" si="12"/>
        <v>0</v>
      </c>
      <c r="X143" s="127" t="str">
        <f t="shared" ca="1" si="18"/>
        <v/>
      </c>
      <c r="Y143" s="127" t="str">
        <f>IF($A143&lt;&gt;"",IF(ISNA(VLOOKUP($N143,選手情報!$A$6:$M$119,13,FALSE)),"","/"&amp;VLOOKUP($N143,選手情報!$A$6:$M$119,13,FALSE)),"")</f>
        <v/>
      </c>
      <c r="Z143" s="127" t="str">
        <f ca="1">IF(Y143&lt;&gt;"",IF(ISNA(VLOOKUP($N143,OFFSET(選手情報!$A$6:$BD$119,0,0),56,FALSE)),"",VLOOKUP($N143,OFFSET(選手情報!$A$6:$BD$119,0,0),56,FALSE)),"")</f>
        <v/>
      </c>
      <c r="AA143" s="127" t="str">
        <f ca="1">IF(Z143&lt;&gt;"",IF(ISNA(VLOOKUP($N143,OFFSET(選手情報!$A$6:$M$119,Z143,0),13,FALSE)),"","/"&amp;VLOOKUP($N143,OFFSET(選手情報!$A$6:$M$119,Z143,0),13,FALSE)),"")</f>
        <v/>
      </c>
      <c r="AB143" s="127" t="str">
        <f ca="1">IF(Z143&lt;&gt;"",IF(ISNA(VLOOKUP($N143,OFFSET(選手情報!$A$6:$BD$119,Z143,0),56,FALSE)),"",VLOOKUP($N143,OFFSET(選手情報!$A$6:$BD$119,Z143,0),56,FALSE)),"")</f>
        <v/>
      </c>
      <c r="AC143" s="127" t="str">
        <f ca="1">IF(AB143&lt;&gt;"",IF(ISNA(VLOOKUP($N143,OFFSET(選手情報!$A$6:$M$119,AB143,0),13,FALSE)),"","/"&amp;VLOOKUP($N143,OFFSET(選手情報!$A$6:$M$119,AB143,0),13,FALSE)),"")</f>
        <v/>
      </c>
      <c r="AD143" s="127" t="str">
        <f ca="1">IF(AB143&lt;&gt;"",IF(ISNA(VLOOKUP($N143,OFFSET(選手情報!$A$6:$BD$119,AB143,0),56,FALSE)),"",VLOOKUP($N143,OFFSET(選手情報!$A$6:$BD$119,AB143,0),56,FALSE)),"")</f>
        <v/>
      </c>
      <c r="AE143" s="127" t="str">
        <f ca="1">IF(AD143&lt;&gt;"",IF(ISNA(VLOOKUP($N143,OFFSET(選手情報!$A$6:$M$119,AD143,0),13,FALSE)),"","/"&amp;VLOOKUP($N143,OFFSET(選手情報!$A$6:$M$119,AD143,0),13,FALSE)),"")</f>
        <v/>
      </c>
      <c r="AF143" s="127" t="str">
        <f ca="1">IF(AD143&lt;&gt;"",IF(ISNA(VLOOKUP($N143,OFFSET(選手情報!$A$6:$BD$119,AD143,0),56,FALSE)),"",VLOOKUP($N143,OFFSET(選手情報!$A$6:$BD$119,AD143,0),56,FALSE)),"")</f>
        <v/>
      </c>
      <c r="AG143" s="127" t="str">
        <f ca="1">IF(AF143&lt;&gt;"",IF(ISNA(VLOOKUP($N143,OFFSET(選手情報!$A$6:$M$119,AF143,0),13,FALSE)),"","/"&amp;VLOOKUP($N143,OFFSET(選手情報!$A$6:$M$119,AF143,0),13,FALSE)),"")</f>
        <v/>
      </c>
      <c r="AH143" s="127" t="str">
        <f ca="1">IF(AF143&lt;&gt;"",IF(ISNA(VLOOKUP($N143,OFFSET(選手情報!$A$6:$BD$119,AF143,0),56,FALSE)),"",VLOOKUP($N143,OFFSET(選手情報!$A$6:$BD$119,AF143,0),56,FALSE)),"")</f>
        <v/>
      </c>
      <c r="AI143" s="127" t="str">
        <f ca="1">IF(AH143&lt;&gt;"",IF(ISNA(VLOOKUP($N143,OFFSET(選手情報!$A$6:$M$119,AH143,0),13,FALSE)),"","/"&amp;VLOOKUP($N143,OFFSET(選手情報!$A$6:$M$119,AH143,0),13,FALSE)),"")</f>
        <v/>
      </c>
      <c r="AJ143" s="127" t="str">
        <f ca="1">IF(AH143&lt;&gt;"",IF(ISNA(VLOOKUP($N143,OFFSET(選手情報!$A$6:$BD$119,AH143,0),56,FALSE)),"",VLOOKUP($N143,OFFSET(選手情報!$A$6:$BD$119,AH143,0),56,FALSE)),"")</f>
        <v/>
      </c>
      <c r="AK143" s="127" t="str">
        <f ca="1">IF(AJ143&lt;&gt;"",IF(ISNA(VLOOKUP($N143,OFFSET(選手情報!$A$6:$M$119,AJ143,0),13,FALSE)),"","/"&amp;VLOOKUP($N143,OFFSET(選手情報!$A$6:$M$119,AJ143,0),13,FALSE)),"")</f>
        <v/>
      </c>
      <c r="AL143" s="127" t="str">
        <f ca="1">IF(AJ143&lt;&gt;"",IF(ISNA(VLOOKUP($N143,OFFSET(選手情報!$A$6:$BD$119,AJ143,0),56,FALSE)),"",VLOOKUP($N143,OFFSET(選手情報!$A$6:$BD$119,AJ143,0),56,FALSE)),"")</f>
        <v/>
      </c>
      <c r="AM143" s="127" t="str">
        <f ca="1">IF(AL143&lt;&gt;"",IF(ISNA(VLOOKUP($N143,OFFSET(選手情報!$A$6:$M$119,AL143,0),13,FALSE)),"","/"&amp;VLOOKUP($N143,OFFSET(選手情報!$A$6:$M$119,AL143,0),13,FALSE)),"")</f>
        <v/>
      </c>
      <c r="AN143" s="127" t="str">
        <f ca="1">IF(AL143&lt;&gt;"",IF(ISNA(VLOOKUP($N143,OFFSET(選手情報!$A$6:$BD$119,AL143,0),56,FALSE)),"",VLOOKUP($N143,OFFSET(選手情報!$A$6:$BD$119,AL143,0),56,FALSE)),"")</f>
        <v/>
      </c>
      <c r="AO143" s="127" t="str">
        <f ca="1">IF(AN143&lt;&gt;"",IF(ISNA(VLOOKUP($N143,OFFSET(選手情報!$A$6:$M$119,AN143,0),13,FALSE)),"","/"&amp;VLOOKUP($N143,OFFSET(選手情報!$A$6:$M$119,AN143,0),13,FALSE)),"")</f>
        <v/>
      </c>
      <c r="AP143" s="127" t="str">
        <f ca="1">IF(AN143&lt;&gt;"",IF(ISNA(VLOOKUP($N143,OFFSET(選手情報!$A$6:$BD$119,AN143,0),56,FALSE)),"",VLOOKUP($N143,OFFSET(選手情報!$A$6:$BD$119,AN143,0),56,FALSE)),"")</f>
        <v/>
      </c>
      <c r="AQ143" s="127" t="str">
        <f ca="1">IF(AP143&lt;&gt;"",IF(ISNA(VLOOKUP($N143,OFFSET(選手情報!$A$6:$M$119,AP143,0),13,FALSE)),"","/"&amp;VLOOKUP($N143,OFFSET(選手情報!$A$6:$M$119,AP143,0),13,FALSE)),"")</f>
        <v/>
      </c>
      <c r="AR143" s="127" t="str">
        <f ca="1">IF(AP143&lt;&gt;"",IF(ISNA(VLOOKUP($N143,OFFSET(選手情報!$A$6:$BD$119,AP143,0),56,FALSE)),"",VLOOKUP($N143,OFFSET(選手情報!$A$6:$BD$119,AP143,0),56,FALSE)),"")</f>
        <v/>
      </c>
      <c r="AS143" s="127" t="str">
        <f ca="1">IF(AR143&lt;&gt;"",IF(ISNA(VLOOKUP($N143,OFFSET(選手情報!$A$6:$M$119,AR143,0),13,FALSE)),"","/"&amp;VLOOKUP($N143,OFFSET(選手情報!$A$6:$M$119,AR143,0),13,FALSE)),"")</f>
        <v/>
      </c>
      <c r="AT143" s="127" t="str">
        <f ca="1">IF(AR143&lt;&gt;"",IF(ISNA(VLOOKUP($N143,OFFSET(選手情報!$A$6:$BD$119,AR143,0),56,FALSE)),"",VLOOKUP($N143,OFFSET(選手情報!$A$6:$BD$119,AR143,0),56,FALSE)),"")</f>
        <v/>
      </c>
      <c r="AU143" s="127" t="str">
        <f ca="1">IF(AT143&lt;&gt;"",IF(ISNA(VLOOKUP($N143,OFFSET(選手情報!$A$6:$M$119,AT143,0),13,FALSE)),"","/"&amp;VLOOKUP($N143,OFFSET(選手情報!$A$6:$M$119,AT143,0),13,FALSE)),"")</f>
        <v/>
      </c>
      <c r="AV143" s="127" t="str">
        <f ca="1">IF(AT143&lt;&gt;"",IF(ISNA(VLOOKUP($N143,OFFSET(選手情報!$A$6:$BD$119,AT143,0),56,FALSE)),"",VLOOKUP($N143,OFFSET(選手情報!$A$6:$BD$119,AT143,0),56,FALSE)),"")</f>
        <v/>
      </c>
      <c r="AW143" s="127" t="str">
        <f ca="1">IF(AV143&lt;&gt;"",IF(ISNA(VLOOKUP($N143,OFFSET(選手情報!$A$6:$M$119,AV143,0),13,FALSE)),"","/"&amp;VLOOKUP($N143,OFFSET(選手情報!$A$6:$M$119,AV143,0),13,FALSE)),"")</f>
        <v/>
      </c>
      <c r="AX143" s="127" t="str">
        <f ca="1">IF(AV143&lt;&gt;"",IF(ISNA(VLOOKUP($N143,OFFSET(選手情報!$A$6:$BD$119,AV143,0),56,FALSE)),"",VLOOKUP($N143,OFFSET(選手情報!$A$6:$BD$119,AV143,0),56,FALSE)),"")</f>
        <v/>
      </c>
      <c r="AY143" s="127" t="str">
        <f ca="1">IF(AX143&lt;&gt;"",IF(ISNA(VLOOKUP($N143,OFFSET(選手情報!$A$6:$M$119,AX143,0),13,FALSE)),"","/"&amp;VLOOKUP($N143,OFFSET(選手情報!$A$6:$M$119,AX143,0),13,FALSE)),"")</f>
        <v/>
      </c>
      <c r="AZ143" s="127" t="str">
        <f ca="1">IF(AX143&lt;&gt;"",IF(ISNA(VLOOKUP($N143,OFFSET(選手情報!$A$6:$BD$119,AX143,0),56,FALSE)),"",VLOOKUP($N143,OFFSET(選手情報!$A$6:$BD$119,AX143,0),56,FALSE)),"")</f>
        <v/>
      </c>
      <c r="BA143" s="127" t="str">
        <f ca="1">IF(AZ143&lt;&gt;"",IF(ISNA(VLOOKUP($N143,OFFSET(選手情報!$A$6:$M$119,AZ143,0),13,FALSE)),"","/"&amp;VLOOKUP($N143,OFFSET(選手情報!$A$6:$M$119,AZ143,0),13,FALSE)),"")</f>
        <v/>
      </c>
      <c r="BB143" s="127" t="str">
        <f ca="1">IF(AZ143&lt;&gt;"",IF(ISNA(VLOOKUP($N143,OFFSET(選手情報!$A$6:$BD$119,AZ143,0),56,FALSE)),"",VLOOKUP($N143,OFFSET(選手情報!$A$6:$BD$119,AZ143,0),56,FALSE)),"")</f>
        <v/>
      </c>
      <c r="BC143" s="127" t="str">
        <f ca="1">IF(BB143&lt;&gt;"",IF(ISNA(VLOOKUP($N143,OFFSET(選手情報!$A$6:$M$119,BB143,0),13,FALSE)),"","/"&amp;VLOOKUP($N143,OFFSET(選手情報!$A$6:$M$119,BB143,0),13,FALSE)),"")</f>
        <v/>
      </c>
      <c r="BD143" s="127" t="str">
        <f ca="1">IF(BB143&lt;&gt;"",IF(ISNA(VLOOKUP($N143,OFFSET(選手情報!$A$6:$BD$119,BB143,0),56,FALSE)),"",VLOOKUP($N143,OFFSET(選手情報!$A$6:$BD$119,BB143,0),56,FALSE)),"")</f>
        <v/>
      </c>
      <c r="BE143" s="127" t="str">
        <f ca="1">IF(BD143&lt;&gt;"",IF(ISNA(VLOOKUP($N143,OFFSET(選手情報!$A$6:$M$119,BD143,0),13,FALSE)),"","/"&amp;VLOOKUP($N143,OFFSET(選手情報!$A$6:$M$119,BD143,0),13,FALSE)),"")</f>
        <v/>
      </c>
      <c r="BF143" s="127" t="str">
        <f ca="1">IF(BD143&lt;&gt;"",IF(ISNA(VLOOKUP($N143,OFFSET(選手情報!$A$6:$BD$119,BD143,0),56,FALSE)),"",VLOOKUP($N143,OFFSET(選手情報!$A$6:$BD$119,BD143,0),56,FALSE)),"")</f>
        <v/>
      </c>
      <c r="BG143" s="127" t="str">
        <f ca="1">IF(BF143&lt;&gt;"",IF(ISNA(VLOOKUP($N143,OFFSET(選手情報!$A$6:$M$119,BF143,0),13,FALSE)),"","/"&amp;VLOOKUP($N143,OFFSET(選手情報!$A$6:$M$119,BF143,0),13,FALSE)),"")</f>
        <v/>
      </c>
      <c r="BH143" s="127" t="str">
        <f ca="1">IF(BF143&lt;&gt;"",IF(ISNA(VLOOKUP($N143,OFFSET(選手情報!$A$6:$BD$119,BF143,0),56,FALSE)),"",VLOOKUP($N143,OFFSET(選手情報!$A$6:$BD$119,BF143,0),56,FALSE)),"")</f>
        <v/>
      </c>
      <c r="BI143" s="127" t="str">
        <f ca="1">IF(BH143&lt;&gt;"",IF(ISNA(VLOOKUP($N143,OFFSET(選手情報!$A$6:$M$119,BH143,0),13,FALSE)),"","/"&amp;VLOOKUP($N143,OFFSET(選手情報!$A$6:$M$119,BH143,0),13,FALSE)),"")</f>
        <v/>
      </c>
    </row>
    <row r="144" spans="1:61" s="127" customFormat="1" ht="12.6" customHeight="1">
      <c r="A144" s="128" t="str">
        <f>IF(ISNA(VLOOKUP($C$2&amp;N144,選手データ!A:H,3,FALSE)),"",IF(M144&lt;&gt;M143,VLOOKUP($C$2&amp;N144,選手データ!A:H,3,FALSE),""))</f>
        <v/>
      </c>
      <c r="B144" s="129" t="str">
        <f>IF(A144&lt;&gt;"",VLOOKUP($C$2&amp;N144,選手データ!A:H,4,FALSE),"")</f>
        <v/>
      </c>
      <c r="C144" s="129" t="str">
        <f>IF(A144&lt;&gt;"",VLOOKUP($C$2&amp;N144,選手データ!A:H,5,FALSE),"")</f>
        <v/>
      </c>
      <c r="D144" s="129" t="str">
        <f>IF(A144&lt;&gt;"",VLOOKUP($C$2&amp;N144,選手データ!A:H,6,FALSE),"")</f>
        <v/>
      </c>
      <c r="E144" s="129" t="str">
        <f>IF(A144&lt;&gt;"",VLOOKUP($C$2&amp;N144,選手データ!A:H,7,FALSE),"")</f>
        <v/>
      </c>
      <c r="F144" s="130" t="str">
        <f>IF(A144&lt;&gt;"",VLOOKUP($C$2&amp;N144,選手データ!A:H,8,FALSE),"")</f>
        <v/>
      </c>
      <c r="G144" s="130" t="str">
        <f>IF(F144&lt;&gt;"",IF(DATEDIF(F144,設定!$B$12,"Y")&lt;20,"〇",""),"")</f>
        <v/>
      </c>
      <c r="H144" s="131" t="str">
        <f t="shared" ca="1" si="19"/>
        <v/>
      </c>
      <c r="I144" s="132" t="str">
        <f t="shared" ca="1" si="20"/>
        <v/>
      </c>
      <c r="J144" s="131" t="str">
        <f t="shared" ca="1" si="21"/>
        <v/>
      </c>
      <c r="K144" s="130" t="str">
        <f>IF(A144&lt;&gt;"",IF(COUNTIF(リレーチーム情報!$B$17:$B$22,A144&amp;E144)=1,"〇",""),"")</f>
        <v/>
      </c>
      <c r="L144" s="133" t="str">
        <f>IF(A144&lt;&gt;"",IF(COUNTIF(リレーチーム情報!$B$23:$B$28,A144&amp;E144)=1,"〇",""),"")</f>
        <v/>
      </c>
      <c r="M144" s="127">
        <f>IF(学校情報!$A$4&lt;&gt;"",0,IF(S143=0,MAX($M$109:M143)+1,M143))</f>
        <v>0</v>
      </c>
      <c r="N144" s="127" t="str">
        <f>IF(M144&lt;&gt;0,VLOOKUP(M144,選手情報!BI:BJ,2,FALSE),"")</f>
        <v/>
      </c>
      <c r="O144" s="127" t="str">
        <f ca="1">IF(M144&lt;&gt;0,VLOOKUP(N144,OFFSET(選手情報!$A$6:$W$119,IF(M144&lt;&gt;M143,0,R143),0),13,FALSE),"")</f>
        <v/>
      </c>
      <c r="P144" s="127" t="str">
        <f ca="1">IF(M144&lt;&gt;0,VLOOKUP(N144,OFFSET(選手情報!$A$6:$W$119,IF(M144&lt;&gt;M143,0,R143),0),16,FALSE),"")</f>
        <v/>
      </c>
      <c r="Q144" s="127" t="str">
        <f ca="1">IF(M144&lt;&gt;0,VLOOKUP(N144,OFFSET(選手情報!$A$6:$W$119,IF(M144&lt;&gt;M143,0,R143),0),21,FALSE),"")</f>
        <v/>
      </c>
      <c r="R144" s="127">
        <f ca="1">IF(M144&lt;&gt;0,VLOOKUP(N144,OFFSET(選手情報!$A$6:$BD$119,IF(M144&lt;&gt;M143,0,R143),0),56,FALSE),0)</f>
        <v>0</v>
      </c>
      <c r="S144" s="127">
        <f ca="1">IF(M144&lt;&gt;0,IF(ISNA(R144),0,COUNTIF(OFFSET(選手情報!$A$6:$A$119,R144,0),N144)),0)</f>
        <v>0</v>
      </c>
      <c r="U144" s="127">
        <f t="shared" si="16"/>
        <v>0</v>
      </c>
      <c r="V144" s="127">
        <f t="shared" ca="1" si="17"/>
        <v>1</v>
      </c>
      <c r="W144" s="127">
        <f t="shared" ca="1" si="12"/>
        <v>0</v>
      </c>
      <c r="X144" s="127" t="str">
        <f t="shared" ca="1" si="18"/>
        <v/>
      </c>
      <c r="Y144" s="127" t="str">
        <f>IF($A144&lt;&gt;"",IF(ISNA(VLOOKUP($N144,選手情報!$A$6:$M$119,13,FALSE)),"","/"&amp;VLOOKUP($N144,選手情報!$A$6:$M$119,13,FALSE)),"")</f>
        <v/>
      </c>
      <c r="Z144" s="127" t="str">
        <f ca="1">IF(Y144&lt;&gt;"",IF(ISNA(VLOOKUP($N144,OFFSET(選手情報!$A$6:$BD$119,0,0),56,FALSE)),"",VLOOKUP($N144,OFFSET(選手情報!$A$6:$BD$119,0,0),56,FALSE)),"")</f>
        <v/>
      </c>
      <c r="AA144" s="127" t="str">
        <f ca="1">IF(Z144&lt;&gt;"",IF(ISNA(VLOOKUP($N144,OFFSET(選手情報!$A$6:$M$119,Z144,0),13,FALSE)),"","/"&amp;VLOOKUP($N144,OFFSET(選手情報!$A$6:$M$119,Z144,0),13,FALSE)),"")</f>
        <v/>
      </c>
      <c r="AB144" s="127" t="str">
        <f ca="1">IF(Z144&lt;&gt;"",IF(ISNA(VLOOKUP($N144,OFFSET(選手情報!$A$6:$BD$119,Z144,0),56,FALSE)),"",VLOOKUP($N144,OFFSET(選手情報!$A$6:$BD$119,Z144,0),56,FALSE)),"")</f>
        <v/>
      </c>
      <c r="AC144" s="127" t="str">
        <f ca="1">IF(AB144&lt;&gt;"",IF(ISNA(VLOOKUP($N144,OFFSET(選手情報!$A$6:$M$119,AB144,0),13,FALSE)),"","/"&amp;VLOOKUP($N144,OFFSET(選手情報!$A$6:$M$119,AB144,0),13,FALSE)),"")</f>
        <v/>
      </c>
      <c r="AD144" s="127" t="str">
        <f ca="1">IF(AB144&lt;&gt;"",IF(ISNA(VLOOKUP($N144,OFFSET(選手情報!$A$6:$BD$119,AB144,0),56,FALSE)),"",VLOOKUP($N144,OFFSET(選手情報!$A$6:$BD$119,AB144,0),56,FALSE)),"")</f>
        <v/>
      </c>
      <c r="AE144" s="127" t="str">
        <f ca="1">IF(AD144&lt;&gt;"",IF(ISNA(VLOOKUP($N144,OFFSET(選手情報!$A$6:$M$119,AD144,0),13,FALSE)),"","/"&amp;VLOOKUP($N144,OFFSET(選手情報!$A$6:$M$119,AD144,0),13,FALSE)),"")</f>
        <v/>
      </c>
      <c r="AF144" s="127" t="str">
        <f ca="1">IF(AD144&lt;&gt;"",IF(ISNA(VLOOKUP($N144,OFFSET(選手情報!$A$6:$BD$119,AD144,0),56,FALSE)),"",VLOOKUP($N144,OFFSET(選手情報!$A$6:$BD$119,AD144,0),56,FALSE)),"")</f>
        <v/>
      </c>
      <c r="AG144" s="127" t="str">
        <f ca="1">IF(AF144&lt;&gt;"",IF(ISNA(VLOOKUP($N144,OFFSET(選手情報!$A$6:$M$119,AF144,0),13,FALSE)),"","/"&amp;VLOOKUP($N144,OFFSET(選手情報!$A$6:$M$119,AF144,0),13,FALSE)),"")</f>
        <v/>
      </c>
      <c r="AH144" s="127" t="str">
        <f ca="1">IF(AF144&lt;&gt;"",IF(ISNA(VLOOKUP($N144,OFFSET(選手情報!$A$6:$BD$119,AF144,0),56,FALSE)),"",VLOOKUP($N144,OFFSET(選手情報!$A$6:$BD$119,AF144,0),56,FALSE)),"")</f>
        <v/>
      </c>
      <c r="AI144" s="127" t="str">
        <f ca="1">IF(AH144&lt;&gt;"",IF(ISNA(VLOOKUP($N144,OFFSET(選手情報!$A$6:$M$119,AH144,0),13,FALSE)),"","/"&amp;VLOOKUP($N144,OFFSET(選手情報!$A$6:$M$119,AH144,0),13,FALSE)),"")</f>
        <v/>
      </c>
      <c r="AJ144" s="127" t="str">
        <f ca="1">IF(AH144&lt;&gt;"",IF(ISNA(VLOOKUP($N144,OFFSET(選手情報!$A$6:$BD$119,AH144,0),56,FALSE)),"",VLOOKUP($N144,OFFSET(選手情報!$A$6:$BD$119,AH144,0),56,FALSE)),"")</f>
        <v/>
      </c>
      <c r="AK144" s="127" t="str">
        <f ca="1">IF(AJ144&lt;&gt;"",IF(ISNA(VLOOKUP($N144,OFFSET(選手情報!$A$6:$M$119,AJ144,0),13,FALSE)),"","/"&amp;VLOOKUP($N144,OFFSET(選手情報!$A$6:$M$119,AJ144,0),13,FALSE)),"")</f>
        <v/>
      </c>
      <c r="AL144" s="127" t="str">
        <f ca="1">IF(AJ144&lt;&gt;"",IF(ISNA(VLOOKUP($N144,OFFSET(選手情報!$A$6:$BD$119,AJ144,0),56,FALSE)),"",VLOOKUP($N144,OFFSET(選手情報!$A$6:$BD$119,AJ144,0),56,FALSE)),"")</f>
        <v/>
      </c>
      <c r="AM144" s="127" t="str">
        <f ca="1">IF(AL144&lt;&gt;"",IF(ISNA(VLOOKUP($N144,OFFSET(選手情報!$A$6:$M$119,AL144,0),13,FALSE)),"","/"&amp;VLOOKUP($N144,OFFSET(選手情報!$A$6:$M$119,AL144,0),13,FALSE)),"")</f>
        <v/>
      </c>
      <c r="AN144" s="127" t="str">
        <f ca="1">IF(AL144&lt;&gt;"",IF(ISNA(VLOOKUP($N144,OFFSET(選手情報!$A$6:$BD$119,AL144,0),56,FALSE)),"",VLOOKUP($N144,OFFSET(選手情報!$A$6:$BD$119,AL144,0),56,FALSE)),"")</f>
        <v/>
      </c>
      <c r="AO144" s="127" t="str">
        <f ca="1">IF(AN144&lt;&gt;"",IF(ISNA(VLOOKUP($N144,OFFSET(選手情報!$A$6:$M$119,AN144,0),13,FALSE)),"","/"&amp;VLOOKUP($N144,OFFSET(選手情報!$A$6:$M$119,AN144,0),13,FALSE)),"")</f>
        <v/>
      </c>
      <c r="AP144" s="127" t="str">
        <f ca="1">IF(AN144&lt;&gt;"",IF(ISNA(VLOOKUP($N144,OFFSET(選手情報!$A$6:$BD$119,AN144,0),56,FALSE)),"",VLOOKUP($N144,OFFSET(選手情報!$A$6:$BD$119,AN144,0),56,FALSE)),"")</f>
        <v/>
      </c>
      <c r="AQ144" s="127" t="str">
        <f ca="1">IF(AP144&lt;&gt;"",IF(ISNA(VLOOKUP($N144,OFFSET(選手情報!$A$6:$M$119,AP144,0),13,FALSE)),"","/"&amp;VLOOKUP($N144,OFFSET(選手情報!$A$6:$M$119,AP144,0),13,FALSE)),"")</f>
        <v/>
      </c>
      <c r="AR144" s="127" t="str">
        <f ca="1">IF(AP144&lt;&gt;"",IF(ISNA(VLOOKUP($N144,OFFSET(選手情報!$A$6:$BD$119,AP144,0),56,FALSE)),"",VLOOKUP($N144,OFFSET(選手情報!$A$6:$BD$119,AP144,0),56,FALSE)),"")</f>
        <v/>
      </c>
      <c r="AS144" s="127" t="str">
        <f ca="1">IF(AR144&lt;&gt;"",IF(ISNA(VLOOKUP($N144,OFFSET(選手情報!$A$6:$M$119,AR144,0),13,FALSE)),"","/"&amp;VLOOKUP($N144,OFFSET(選手情報!$A$6:$M$119,AR144,0),13,FALSE)),"")</f>
        <v/>
      </c>
      <c r="AT144" s="127" t="str">
        <f ca="1">IF(AR144&lt;&gt;"",IF(ISNA(VLOOKUP($N144,OFFSET(選手情報!$A$6:$BD$119,AR144,0),56,FALSE)),"",VLOOKUP($N144,OFFSET(選手情報!$A$6:$BD$119,AR144,0),56,FALSE)),"")</f>
        <v/>
      </c>
      <c r="AU144" s="127" t="str">
        <f ca="1">IF(AT144&lt;&gt;"",IF(ISNA(VLOOKUP($N144,OFFSET(選手情報!$A$6:$M$119,AT144,0),13,FALSE)),"","/"&amp;VLOOKUP($N144,OFFSET(選手情報!$A$6:$M$119,AT144,0),13,FALSE)),"")</f>
        <v/>
      </c>
      <c r="AV144" s="127" t="str">
        <f ca="1">IF(AT144&lt;&gt;"",IF(ISNA(VLOOKUP($N144,OFFSET(選手情報!$A$6:$BD$119,AT144,0),56,FALSE)),"",VLOOKUP($N144,OFFSET(選手情報!$A$6:$BD$119,AT144,0),56,FALSE)),"")</f>
        <v/>
      </c>
      <c r="AW144" s="127" t="str">
        <f ca="1">IF(AV144&lt;&gt;"",IF(ISNA(VLOOKUP($N144,OFFSET(選手情報!$A$6:$M$119,AV144,0),13,FALSE)),"","/"&amp;VLOOKUP($N144,OFFSET(選手情報!$A$6:$M$119,AV144,0),13,FALSE)),"")</f>
        <v/>
      </c>
      <c r="AX144" s="127" t="str">
        <f ca="1">IF(AV144&lt;&gt;"",IF(ISNA(VLOOKUP($N144,OFFSET(選手情報!$A$6:$BD$119,AV144,0),56,FALSE)),"",VLOOKUP($N144,OFFSET(選手情報!$A$6:$BD$119,AV144,0),56,FALSE)),"")</f>
        <v/>
      </c>
      <c r="AY144" s="127" t="str">
        <f ca="1">IF(AX144&lt;&gt;"",IF(ISNA(VLOOKUP($N144,OFFSET(選手情報!$A$6:$M$119,AX144,0),13,FALSE)),"","/"&amp;VLOOKUP($N144,OFFSET(選手情報!$A$6:$M$119,AX144,0),13,FALSE)),"")</f>
        <v/>
      </c>
      <c r="AZ144" s="127" t="str">
        <f ca="1">IF(AX144&lt;&gt;"",IF(ISNA(VLOOKUP($N144,OFFSET(選手情報!$A$6:$BD$119,AX144,0),56,FALSE)),"",VLOOKUP($N144,OFFSET(選手情報!$A$6:$BD$119,AX144,0),56,FALSE)),"")</f>
        <v/>
      </c>
      <c r="BA144" s="127" t="str">
        <f ca="1">IF(AZ144&lt;&gt;"",IF(ISNA(VLOOKUP($N144,OFFSET(選手情報!$A$6:$M$119,AZ144,0),13,FALSE)),"","/"&amp;VLOOKUP($N144,OFFSET(選手情報!$A$6:$M$119,AZ144,0),13,FALSE)),"")</f>
        <v/>
      </c>
      <c r="BB144" s="127" t="str">
        <f ca="1">IF(AZ144&lt;&gt;"",IF(ISNA(VLOOKUP($N144,OFFSET(選手情報!$A$6:$BD$119,AZ144,0),56,FALSE)),"",VLOOKUP($N144,OFFSET(選手情報!$A$6:$BD$119,AZ144,0),56,FALSE)),"")</f>
        <v/>
      </c>
      <c r="BC144" s="127" t="str">
        <f ca="1">IF(BB144&lt;&gt;"",IF(ISNA(VLOOKUP($N144,OFFSET(選手情報!$A$6:$M$119,BB144,0),13,FALSE)),"","/"&amp;VLOOKUP($N144,OFFSET(選手情報!$A$6:$M$119,BB144,0),13,FALSE)),"")</f>
        <v/>
      </c>
      <c r="BD144" s="127" t="str">
        <f ca="1">IF(BB144&lt;&gt;"",IF(ISNA(VLOOKUP($N144,OFFSET(選手情報!$A$6:$BD$119,BB144,0),56,FALSE)),"",VLOOKUP($N144,OFFSET(選手情報!$A$6:$BD$119,BB144,0),56,FALSE)),"")</f>
        <v/>
      </c>
      <c r="BE144" s="127" t="str">
        <f ca="1">IF(BD144&lt;&gt;"",IF(ISNA(VLOOKUP($N144,OFFSET(選手情報!$A$6:$M$119,BD144,0),13,FALSE)),"","/"&amp;VLOOKUP($N144,OFFSET(選手情報!$A$6:$M$119,BD144,0),13,FALSE)),"")</f>
        <v/>
      </c>
      <c r="BF144" s="127" t="str">
        <f ca="1">IF(BD144&lt;&gt;"",IF(ISNA(VLOOKUP($N144,OFFSET(選手情報!$A$6:$BD$119,BD144,0),56,FALSE)),"",VLOOKUP($N144,OFFSET(選手情報!$A$6:$BD$119,BD144,0),56,FALSE)),"")</f>
        <v/>
      </c>
      <c r="BG144" s="127" t="str">
        <f ca="1">IF(BF144&lt;&gt;"",IF(ISNA(VLOOKUP($N144,OFFSET(選手情報!$A$6:$M$119,BF144,0),13,FALSE)),"","/"&amp;VLOOKUP($N144,OFFSET(選手情報!$A$6:$M$119,BF144,0),13,FALSE)),"")</f>
        <v/>
      </c>
      <c r="BH144" s="127" t="str">
        <f ca="1">IF(BF144&lt;&gt;"",IF(ISNA(VLOOKUP($N144,OFFSET(選手情報!$A$6:$BD$119,BF144,0),56,FALSE)),"",VLOOKUP($N144,OFFSET(選手情報!$A$6:$BD$119,BF144,0),56,FALSE)),"")</f>
        <v/>
      </c>
      <c r="BI144" s="127" t="str">
        <f ca="1">IF(BH144&lt;&gt;"",IF(ISNA(VLOOKUP($N144,OFFSET(選手情報!$A$6:$M$119,BH144,0),13,FALSE)),"","/"&amp;VLOOKUP($N144,OFFSET(選手情報!$A$6:$M$119,BH144,0),13,FALSE)),"")</f>
        <v/>
      </c>
    </row>
    <row r="145" spans="1:61" s="127" customFormat="1" ht="12.6" customHeight="1">
      <c r="A145" s="128" t="str">
        <f>IF(ISNA(VLOOKUP($C$2&amp;N145,選手データ!A:H,3,FALSE)),"",IF(M145&lt;&gt;M144,VLOOKUP($C$2&amp;N145,選手データ!A:H,3,FALSE),""))</f>
        <v/>
      </c>
      <c r="B145" s="129" t="str">
        <f>IF(A145&lt;&gt;"",VLOOKUP($C$2&amp;N145,選手データ!A:H,4,FALSE),"")</f>
        <v/>
      </c>
      <c r="C145" s="129" t="str">
        <f>IF(A145&lt;&gt;"",VLOOKUP($C$2&amp;N145,選手データ!A:H,5,FALSE),"")</f>
        <v/>
      </c>
      <c r="D145" s="129" t="str">
        <f>IF(A145&lt;&gt;"",VLOOKUP($C$2&amp;N145,選手データ!A:H,6,FALSE),"")</f>
        <v/>
      </c>
      <c r="E145" s="129" t="str">
        <f>IF(A145&lt;&gt;"",VLOOKUP($C$2&amp;N145,選手データ!A:H,7,FALSE),"")</f>
        <v/>
      </c>
      <c r="F145" s="130" t="str">
        <f>IF(A145&lt;&gt;"",VLOOKUP($C$2&amp;N145,選手データ!A:H,8,FALSE),"")</f>
        <v/>
      </c>
      <c r="G145" s="130" t="str">
        <f>IF(F145&lt;&gt;"",IF(DATEDIF(F145,設定!$B$12,"Y")&lt;20,"〇",""),"")</f>
        <v/>
      </c>
      <c r="H145" s="131" t="str">
        <f t="shared" ca="1" si="19"/>
        <v/>
      </c>
      <c r="I145" s="132" t="str">
        <f t="shared" ca="1" si="20"/>
        <v/>
      </c>
      <c r="J145" s="131" t="str">
        <f t="shared" ca="1" si="21"/>
        <v/>
      </c>
      <c r="K145" s="130" t="str">
        <f>IF(A145&lt;&gt;"",IF(COUNTIF(リレーチーム情報!$B$17:$B$22,A145&amp;E145)=1,"〇",""),"")</f>
        <v/>
      </c>
      <c r="L145" s="133" t="str">
        <f>IF(A145&lt;&gt;"",IF(COUNTIF(リレーチーム情報!$B$23:$B$28,A145&amp;E145)=1,"〇",""),"")</f>
        <v/>
      </c>
      <c r="M145" s="127">
        <f>IF(学校情報!$A$4&lt;&gt;"",0,IF(S144=0,MAX($M$109:M144)+1,M144))</f>
        <v>0</v>
      </c>
      <c r="N145" s="127" t="str">
        <f>IF(M145&lt;&gt;0,VLOOKUP(M145,選手情報!BI:BJ,2,FALSE),"")</f>
        <v/>
      </c>
      <c r="O145" s="127" t="str">
        <f ca="1">IF(M145&lt;&gt;0,VLOOKUP(N145,OFFSET(選手情報!$A$6:$W$119,IF(M145&lt;&gt;M144,0,R144),0),13,FALSE),"")</f>
        <v/>
      </c>
      <c r="P145" s="127" t="str">
        <f ca="1">IF(M145&lt;&gt;0,VLOOKUP(N145,OFFSET(選手情報!$A$6:$W$119,IF(M145&lt;&gt;M144,0,R144),0),16,FALSE),"")</f>
        <v/>
      </c>
      <c r="Q145" s="127" t="str">
        <f ca="1">IF(M145&lt;&gt;0,VLOOKUP(N145,OFFSET(選手情報!$A$6:$W$119,IF(M145&lt;&gt;M144,0,R144),0),21,FALSE),"")</f>
        <v/>
      </c>
      <c r="R145" s="127">
        <f ca="1">IF(M145&lt;&gt;0,VLOOKUP(N145,OFFSET(選手情報!$A$6:$BD$119,IF(M145&lt;&gt;M144,0,R144),0),56,FALSE),0)</f>
        <v>0</v>
      </c>
      <c r="S145" s="127">
        <f ca="1">IF(M145&lt;&gt;0,IF(ISNA(R145),0,COUNTIF(OFFSET(選手情報!$A$6:$A$119,R145,0),N145)),0)</f>
        <v>0</v>
      </c>
      <c r="U145" s="127">
        <f t="shared" si="16"/>
        <v>0</v>
      </c>
      <c r="V145" s="127">
        <f t="shared" ca="1" si="17"/>
        <v>1</v>
      </c>
      <c r="W145" s="127">
        <f t="shared" ca="1" si="12"/>
        <v>0</v>
      </c>
      <c r="X145" s="127" t="str">
        <f t="shared" ca="1" si="18"/>
        <v/>
      </c>
      <c r="Y145" s="127" t="str">
        <f>IF($A145&lt;&gt;"",IF(ISNA(VLOOKUP($N145,選手情報!$A$6:$M$119,13,FALSE)),"","/"&amp;VLOOKUP($N145,選手情報!$A$6:$M$119,13,FALSE)),"")</f>
        <v/>
      </c>
      <c r="Z145" s="127" t="str">
        <f ca="1">IF(Y145&lt;&gt;"",IF(ISNA(VLOOKUP($N145,OFFSET(選手情報!$A$6:$BD$119,0,0),56,FALSE)),"",VLOOKUP($N145,OFFSET(選手情報!$A$6:$BD$119,0,0),56,FALSE)),"")</f>
        <v/>
      </c>
      <c r="AA145" s="127" t="str">
        <f ca="1">IF(Z145&lt;&gt;"",IF(ISNA(VLOOKUP($N145,OFFSET(選手情報!$A$6:$M$119,Z145,0),13,FALSE)),"","/"&amp;VLOOKUP($N145,OFFSET(選手情報!$A$6:$M$119,Z145,0),13,FALSE)),"")</f>
        <v/>
      </c>
      <c r="AB145" s="127" t="str">
        <f ca="1">IF(Z145&lt;&gt;"",IF(ISNA(VLOOKUP($N145,OFFSET(選手情報!$A$6:$BD$119,Z145,0),56,FALSE)),"",VLOOKUP($N145,OFFSET(選手情報!$A$6:$BD$119,Z145,0),56,FALSE)),"")</f>
        <v/>
      </c>
      <c r="AC145" s="127" t="str">
        <f ca="1">IF(AB145&lt;&gt;"",IF(ISNA(VLOOKUP($N145,OFFSET(選手情報!$A$6:$M$119,AB145,0),13,FALSE)),"","/"&amp;VLOOKUP($N145,OFFSET(選手情報!$A$6:$M$119,AB145,0),13,FALSE)),"")</f>
        <v/>
      </c>
      <c r="AD145" s="127" t="str">
        <f ca="1">IF(AB145&lt;&gt;"",IF(ISNA(VLOOKUP($N145,OFFSET(選手情報!$A$6:$BD$119,AB145,0),56,FALSE)),"",VLOOKUP($N145,OFFSET(選手情報!$A$6:$BD$119,AB145,0),56,FALSE)),"")</f>
        <v/>
      </c>
      <c r="AE145" s="127" t="str">
        <f ca="1">IF(AD145&lt;&gt;"",IF(ISNA(VLOOKUP($N145,OFFSET(選手情報!$A$6:$M$119,AD145,0),13,FALSE)),"","/"&amp;VLOOKUP($N145,OFFSET(選手情報!$A$6:$M$119,AD145,0),13,FALSE)),"")</f>
        <v/>
      </c>
      <c r="AF145" s="127" t="str">
        <f ca="1">IF(AD145&lt;&gt;"",IF(ISNA(VLOOKUP($N145,OFFSET(選手情報!$A$6:$BD$119,AD145,0),56,FALSE)),"",VLOOKUP($N145,OFFSET(選手情報!$A$6:$BD$119,AD145,0),56,FALSE)),"")</f>
        <v/>
      </c>
      <c r="AG145" s="127" t="str">
        <f ca="1">IF(AF145&lt;&gt;"",IF(ISNA(VLOOKUP($N145,OFFSET(選手情報!$A$6:$M$119,AF145,0),13,FALSE)),"","/"&amp;VLOOKUP($N145,OFFSET(選手情報!$A$6:$M$119,AF145,0),13,FALSE)),"")</f>
        <v/>
      </c>
      <c r="AH145" s="127" t="str">
        <f ca="1">IF(AF145&lt;&gt;"",IF(ISNA(VLOOKUP($N145,OFFSET(選手情報!$A$6:$BD$119,AF145,0),56,FALSE)),"",VLOOKUP($N145,OFFSET(選手情報!$A$6:$BD$119,AF145,0),56,FALSE)),"")</f>
        <v/>
      </c>
      <c r="AI145" s="127" t="str">
        <f ca="1">IF(AH145&lt;&gt;"",IF(ISNA(VLOOKUP($N145,OFFSET(選手情報!$A$6:$M$119,AH145,0),13,FALSE)),"","/"&amp;VLOOKUP($N145,OFFSET(選手情報!$A$6:$M$119,AH145,0),13,FALSE)),"")</f>
        <v/>
      </c>
      <c r="AJ145" s="127" t="str">
        <f ca="1">IF(AH145&lt;&gt;"",IF(ISNA(VLOOKUP($N145,OFFSET(選手情報!$A$6:$BD$119,AH145,0),56,FALSE)),"",VLOOKUP($N145,OFFSET(選手情報!$A$6:$BD$119,AH145,0),56,FALSE)),"")</f>
        <v/>
      </c>
      <c r="AK145" s="127" t="str">
        <f ca="1">IF(AJ145&lt;&gt;"",IF(ISNA(VLOOKUP($N145,OFFSET(選手情報!$A$6:$M$119,AJ145,0),13,FALSE)),"","/"&amp;VLOOKUP($N145,OFFSET(選手情報!$A$6:$M$119,AJ145,0),13,FALSE)),"")</f>
        <v/>
      </c>
      <c r="AL145" s="127" t="str">
        <f ca="1">IF(AJ145&lt;&gt;"",IF(ISNA(VLOOKUP($N145,OFFSET(選手情報!$A$6:$BD$119,AJ145,0),56,FALSE)),"",VLOOKUP($N145,OFFSET(選手情報!$A$6:$BD$119,AJ145,0),56,FALSE)),"")</f>
        <v/>
      </c>
      <c r="AM145" s="127" t="str">
        <f ca="1">IF(AL145&lt;&gt;"",IF(ISNA(VLOOKUP($N145,OFFSET(選手情報!$A$6:$M$119,AL145,0),13,FALSE)),"","/"&amp;VLOOKUP($N145,OFFSET(選手情報!$A$6:$M$119,AL145,0),13,FALSE)),"")</f>
        <v/>
      </c>
      <c r="AN145" s="127" t="str">
        <f ca="1">IF(AL145&lt;&gt;"",IF(ISNA(VLOOKUP($N145,OFFSET(選手情報!$A$6:$BD$119,AL145,0),56,FALSE)),"",VLOOKUP($N145,OFFSET(選手情報!$A$6:$BD$119,AL145,0),56,FALSE)),"")</f>
        <v/>
      </c>
      <c r="AO145" s="127" t="str">
        <f ca="1">IF(AN145&lt;&gt;"",IF(ISNA(VLOOKUP($N145,OFFSET(選手情報!$A$6:$M$119,AN145,0),13,FALSE)),"","/"&amp;VLOOKUP($N145,OFFSET(選手情報!$A$6:$M$119,AN145,0),13,FALSE)),"")</f>
        <v/>
      </c>
      <c r="AP145" s="127" t="str">
        <f ca="1">IF(AN145&lt;&gt;"",IF(ISNA(VLOOKUP($N145,OFFSET(選手情報!$A$6:$BD$119,AN145,0),56,FALSE)),"",VLOOKUP($N145,OFFSET(選手情報!$A$6:$BD$119,AN145,0),56,FALSE)),"")</f>
        <v/>
      </c>
      <c r="AQ145" s="127" t="str">
        <f ca="1">IF(AP145&lt;&gt;"",IF(ISNA(VLOOKUP($N145,OFFSET(選手情報!$A$6:$M$119,AP145,0),13,FALSE)),"","/"&amp;VLOOKUP($N145,OFFSET(選手情報!$A$6:$M$119,AP145,0),13,FALSE)),"")</f>
        <v/>
      </c>
      <c r="AR145" s="127" t="str">
        <f ca="1">IF(AP145&lt;&gt;"",IF(ISNA(VLOOKUP($N145,OFFSET(選手情報!$A$6:$BD$119,AP145,0),56,FALSE)),"",VLOOKUP($N145,OFFSET(選手情報!$A$6:$BD$119,AP145,0),56,FALSE)),"")</f>
        <v/>
      </c>
      <c r="AS145" s="127" t="str">
        <f ca="1">IF(AR145&lt;&gt;"",IF(ISNA(VLOOKUP($N145,OFFSET(選手情報!$A$6:$M$119,AR145,0),13,FALSE)),"","/"&amp;VLOOKUP($N145,OFFSET(選手情報!$A$6:$M$119,AR145,0),13,FALSE)),"")</f>
        <v/>
      </c>
      <c r="AT145" s="127" t="str">
        <f ca="1">IF(AR145&lt;&gt;"",IF(ISNA(VLOOKUP($N145,OFFSET(選手情報!$A$6:$BD$119,AR145,0),56,FALSE)),"",VLOOKUP($N145,OFFSET(選手情報!$A$6:$BD$119,AR145,0),56,FALSE)),"")</f>
        <v/>
      </c>
      <c r="AU145" s="127" t="str">
        <f ca="1">IF(AT145&lt;&gt;"",IF(ISNA(VLOOKUP($N145,OFFSET(選手情報!$A$6:$M$119,AT145,0),13,FALSE)),"","/"&amp;VLOOKUP($N145,OFFSET(選手情報!$A$6:$M$119,AT145,0),13,FALSE)),"")</f>
        <v/>
      </c>
      <c r="AV145" s="127" t="str">
        <f ca="1">IF(AT145&lt;&gt;"",IF(ISNA(VLOOKUP($N145,OFFSET(選手情報!$A$6:$BD$119,AT145,0),56,FALSE)),"",VLOOKUP($N145,OFFSET(選手情報!$A$6:$BD$119,AT145,0),56,FALSE)),"")</f>
        <v/>
      </c>
      <c r="AW145" s="127" t="str">
        <f ca="1">IF(AV145&lt;&gt;"",IF(ISNA(VLOOKUP($N145,OFFSET(選手情報!$A$6:$M$119,AV145,0),13,FALSE)),"","/"&amp;VLOOKUP($N145,OFFSET(選手情報!$A$6:$M$119,AV145,0),13,FALSE)),"")</f>
        <v/>
      </c>
      <c r="AX145" s="127" t="str">
        <f ca="1">IF(AV145&lt;&gt;"",IF(ISNA(VLOOKUP($N145,OFFSET(選手情報!$A$6:$BD$119,AV145,0),56,FALSE)),"",VLOOKUP($N145,OFFSET(選手情報!$A$6:$BD$119,AV145,0),56,FALSE)),"")</f>
        <v/>
      </c>
      <c r="AY145" s="127" t="str">
        <f ca="1">IF(AX145&lt;&gt;"",IF(ISNA(VLOOKUP($N145,OFFSET(選手情報!$A$6:$M$119,AX145,0),13,FALSE)),"","/"&amp;VLOOKUP($N145,OFFSET(選手情報!$A$6:$M$119,AX145,0),13,FALSE)),"")</f>
        <v/>
      </c>
      <c r="AZ145" s="127" t="str">
        <f ca="1">IF(AX145&lt;&gt;"",IF(ISNA(VLOOKUP($N145,OFFSET(選手情報!$A$6:$BD$119,AX145,0),56,FALSE)),"",VLOOKUP($N145,OFFSET(選手情報!$A$6:$BD$119,AX145,0),56,FALSE)),"")</f>
        <v/>
      </c>
      <c r="BA145" s="127" t="str">
        <f ca="1">IF(AZ145&lt;&gt;"",IF(ISNA(VLOOKUP($N145,OFFSET(選手情報!$A$6:$M$119,AZ145,0),13,FALSE)),"","/"&amp;VLOOKUP($N145,OFFSET(選手情報!$A$6:$M$119,AZ145,0),13,FALSE)),"")</f>
        <v/>
      </c>
      <c r="BB145" s="127" t="str">
        <f ca="1">IF(AZ145&lt;&gt;"",IF(ISNA(VLOOKUP($N145,OFFSET(選手情報!$A$6:$BD$119,AZ145,0),56,FALSE)),"",VLOOKUP($N145,OFFSET(選手情報!$A$6:$BD$119,AZ145,0),56,FALSE)),"")</f>
        <v/>
      </c>
      <c r="BC145" s="127" t="str">
        <f ca="1">IF(BB145&lt;&gt;"",IF(ISNA(VLOOKUP($N145,OFFSET(選手情報!$A$6:$M$119,BB145,0),13,FALSE)),"","/"&amp;VLOOKUP($N145,OFFSET(選手情報!$A$6:$M$119,BB145,0),13,FALSE)),"")</f>
        <v/>
      </c>
      <c r="BD145" s="127" t="str">
        <f ca="1">IF(BB145&lt;&gt;"",IF(ISNA(VLOOKUP($N145,OFFSET(選手情報!$A$6:$BD$119,BB145,0),56,FALSE)),"",VLOOKUP($N145,OFFSET(選手情報!$A$6:$BD$119,BB145,0),56,FALSE)),"")</f>
        <v/>
      </c>
      <c r="BE145" s="127" t="str">
        <f ca="1">IF(BD145&lt;&gt;"",IF(ISNA(VLOOKUP($N145,OFFSET(選手情報!$A$6:$M$119,BD145,0),13,FALSE)),"","/"&amp;VLOOKUP($N145,OFFSET(選手情報!$A$6:$M$119,BD145,0),13,FALSE)),"")</f>
        <v/>
      </c>
      <c r="BF145" s="127" t="str">
        <f ca="1">IF(BD145&lt;&gt;"",IF(ISNA(VLOOKUP($N145,OFFSET(選手情報!$A$6:$BD$119,BD145,0),56,FALSE)),"",VLOOKUP($N145,OFFSET(選手情報!$A$6:$BD$119,BD145,0),56,FALSE)),"")</f>
        <v/>
      </c>
      <c r="BG145" s="127" t="str">
        <f ca="1">IF(BF145&lt;&gt;"",IF(ISNA(VLOOKUP($N145,OFFSET(選手情報!$A$6:$M$119,BF145,0),13,FALSE)),"","/"&amp;VLOOKUP($N145,OFFSET(選手情報!$A$6:$M$119,BF145,0),13,FALSE)),"")</f>
        <v/>
      </c>
      <c r="BH145" s="127" t="str">
        <f ca="1">IF(BF145&lt;&gt;"",IF(ISNA(VLOOKUP($N145,OFFSET(選手情報!$A$6:$BD$119,BF145,0),56,FALSE)),"",VLOOKUP($N145,OFFSET(選手情報!$A$6:$BD$119,BF145,0),56,FALSE)),"")</f>
        <v/>
      </c>
      <c r="BI145" s="127" t="str">
        <f ca="1">IF(BH145&lt;&gt;"",IF(ISNA(VLOOKUP($N145,OFFSET(選手情報!$A$6:$M$119,BH145,0),13,FALSE)),"","/"&amp;VLOOKUP($N145,OFFSET(選手情報!$A$6:$M$119,BH145,0),13,FALSE)),"")</f>
        <v/>
      </c>
    </row>
    <row r="146" spans="1:61" s="127" customFormat="1" ht="12.6" customHeight="1">
      <c r="A146" s="128" t="str">
        <f>IF(ISNA(VLOOKUP($C$2&amp;N146,選手データ!A:H,3,FALSE)),"",IF(M146&lt;&gt;M145,VLOOKUP($C$2&amp;N146,選手データ!A:H,3,FALSE),""))</f>
        <v/>
      </c>
      <c r="B146" s="129" t="str">
        <f>IF(A146&lt;&gt;"",VLOOKUP($C$2&amp;N146,選手データ!A:H,4,FALSE),"")</f>
        <v/>
      </c>
      <c r="C146" s="129" t="str">
        <f>IF(A146&lt;&gt;"",VLOOKUP($C$2&amp;N146,選手データ!A:H,5,FALSE),"")</f>
        <v/>
      </c>
      <c r="D146" s="129" t="str">
        <f>IF(A146&lt;&gt;"",VLOOKUP($C$2&amp;N146,選手データ!A:H,6,FALSE),"")</f>
        <v/>
      </c>
      <c r="E146" s="129" t="str">
        <f>IF(A146&lt;&gt;"",VLOOKUP($C$2&amp;N146,選手データ!A:H,7,FALSE),"")</f>
        <v/>
      </c>
      <c r="F146" s="130" t="str">
        <f>IF(A146&lt;&gt;"",VLOOKUP($C$2&amp;N146,選手データ!A:H,8,FALSE),"")</f>
        <v/>
      </c>
      <c r="G146" s="130" t="str">
        <f>IF(F146&lt;&gt;"",IF(DATEDIF(F146,設定!$B$12,"Y")&lt;20,"〇",""),"")</f>
        <v/>
      </c>
      <c r="H146" s="131" t="str">
        <f t="shared" ca="1" si="19"/>
        <v/>
      </c>
      <c r="I146" s="132" t="str">
        <f t="shared" ca="1" si="20"/>
        <v/>
      </c>
      <c r="J146" s="131" t="str">
        <f t="shared" ca="1" si="21"/>
        <v/>
      </c>
      <c r="K146" s="130" t="str">
        <f>IF(A146&lt;&gt;"",IF(COUNTIF(リレーチーム情報!$B$17:$B$22,A146&amp;E146)=1,"〇",""),"")</f>
        <v/>
      </c>
      <c r="L146" s="133" t="str">
        <f>IF(A146&lt;&gt;"",IF(COUNTIF(リレーチーム情報!$B$23:$B$28,A146&amp;E146)=1,"〇",""),"")</f>
        <v/>
      </c>
      <c r="M146" s="127">
        <f>IF(学校情報!$A$4&lt;&gt;"",0,IF(S145=0,MAX($M$109:M145)+1,M145))</f>
        <v>0</v>
      </c>
      <c r="N146" s="127" t="str">
        <f>IF(M146&lt;&gt;0,VLOOKUP(M146,選手情報!BI:BJ,2,FALSE),"")</f>
        <v/>
      </c>
      <c r="O146" s="127" t="str">
        <f ca="1">IF(M146&lt;&gt;0,VLOOKUP(N146,OFFSET(選手情報!$A$6:$W$119,IF(M146&lt;&gt;M145,0,R145),0),13,FALSE),"")</f>
        <v/>
      </c>
      <c r="P146" s="127" t="str">
        <f ca="1">IF(M146&lt;&gt;0,VLOOKUP(N146,OFFSET(選手情報!$A$6:$W$119,IF(M146&lt;&gt;M145,0,R145),0),16,FALSE),"")</f>
        <v/>
      </c>
      <c r="Q146" s="127" t="str">
        <f ca="1">IF(M146&lt;&gt;0,VLOOKUP(N146,OFFSET(選手情報!$A$6:$W$119,IF(M146&lt;&gt;M145,0,R145),0),21,FALSE),"")</f>
        <v/>
      </c>
      <c r="R146" s="127">
        <f ca="1">IF(M146&lt;&gt;0,VLOOKUP(N146,OFFSET(選手情報!$A$6:$BD$119,IF(M146&lt;&gt;M145,0,R145),0),56,FALSE),0)</f>
        <v>0</v>
      </c>
      <c r="S146" s="127">
        <f ca="1">IF(M146&lt;&gt;0,IF(ISNA(R146),0,COUNTIF(OFFSET(選手情報!$A$6:$A$119,R146,0),N146)),0)</f>
        <v>0</v>
      </c>
      <c r="U146" s="127">
        <f t="shared" si="16"/>
        <v>0</v>
      </c>
      <c r="V146" s="127">
        <f t="shared" ca="1" si="17"/>
        <v>1</v>
      </c>
      <c r="W146" s="127">
        <f t="shared" ca="1" si="12"/>
        <v>0</v>
      </c>
      <c r="X146" s="127" t="str">
        <f t="shared" ca="1" si="18"/>
        <v/>
      </c>
      <c r="Y146" s="127" t="str">
        <f>IF($A146&lt;&gt;"",IF(ISNA(VLOOKUP($N146,選手情報!$A$6:$M$119,13,FALSE)),"","/"&amp;VLOOKUP($N146,選手情報!$A$6:$M$119,13,FALSE)),"")</f>
        <v/>
      </c>
      <c r="Z146" s="127" t="str">
        <f ca="1">IF(Y146&lt;&gt;"",IF(ISNA(VLOOKUP($N146,OFFSET(選手情報!$A$6:$BD$119,0,0),56,FALSE)),"",VLOOKUP($N146,OFFSET(選手情報!$A$6:$BD$119,0,0),56,FALSE)),"")</f>
        <v/>
      </c>
      <c r="AA146" s="127" t="str">
        <f ca="1">IF(Z146&lt;&gt;"",IF(ISNA(VLOOKUP($N146,OFFSET(選手情報!$A$6:$M$119,Z146,0),13,FALSE)),"","/"&amp;VLOOKUP($N146,OFFSET(選手情報!$A$6:$M$119,Z146,0),13,FALSE)),"")</f>
        <v/>
      </c>
      <c r="AB146" s="127" t="str">
        <f ca="1">IF(Z146&lt;&gt;"",IF(ISNA(VLOOKUP($N146,OFFSET(選手情報!$A$6:$BD$119,Z146,0),56,FALSE)),"",VLOOKUP($N146,OFFSET(選手情報!$A$6:$BD$119,Z146,0),56,FALSE)),"")</f>
        <v/>
      </c>
      <c r="AC146" s="127" t="str">
        <f ca="1">IF(AB146&lt;&gt;"",IF(ISNA(VLOOKUP($N146,OFFSET(選手情報!$A$6:$M$119,AB146,0),13,FALSE)),"","/"&amp;VLOOKUP($N146,OFFSET(選手情報!$A$6:$M$119,AB146,0),13,FALSE)),"")</f>
        <v/>
      </c>
      <c r="AD146" s="127" t="str">
        <f ca="1">IF(AB146&lt;&gt;"",IF(ISNA(VLOOKUP($N146,OFFSET(選手情報!$A$6:$BD$119,AB146,0),56,FALSE)),"",VLOOKUP($N146,OFFSET(選手情報!$A$6:$BD$119,AB146,0),56,FALSE)),"")</f>
        <v/>
      </c>
      <c r="AE146" s="127" t="str">
        <f ca="1">IF(AD146&lt;&gt;"",IF(ISNA(VLOOKUP($N146,OFFSET(選手情報!$A$6:$M$119,AD146,0),13,FALSE)),"","/"&amp;VLOOKUP($N146,OFFSET(選手情報!$A$6:$M$119,AD146,0),13,FALSE)),"")</f>
        <v/>
      </c>
      <c r="AF146" s="127" t="str">
        <f ca="1">IF(AD146&lt;&gt;"",IF(ISNA(VLOOKUP($N146,OFFSET(選手情報!$A$6:$BD$119,AD146,0),56,FALSE)),"",VLOOKUP($N146,OFFSET(選手情報!$A$6:$BD$119,AD146,0),56,FALSE)),"")</f>
        <v/>
      </c>
      <c r="AG146" s="127" t="str">
        <f ca="1">IF(AF146&lt;&gt;"",IF(ISNA(VLOOKUP($N146,OFFSET(選手情報!$A$6:$M$119,AF146,0),13,FALSE)),"","/"&amp;VLOOKUP($N146,OFFSET(選手情報!$A$6:$M$119,AF146,0),13,FALSE)),"")</f>
        <v/>
      </c>
      <c r="AH146" s="127" t="str">
        <f ca="1">IF(AF146&lt;&gt;"",IF(ISNA(VLOOKUP($N146,OFFSET(選手情報!$A$6:$BD$119,AF146,0),56,FALSE)),"",VLOOKUP($N146,OFFSET(選手情報!$A$6:$BD$119,AF146,0),56,FALSE)),"")</f>
        <v/>
      </c>
      <c r="AI146" s="127" t="str">
        <f ca="1">IF(AH146&lt;&gt;"",IF(ISNA(VLOOKUP($N146,OFFSET(選手情報!$A$6:$M$119,AH146,0),13,FALSE)),"","/"&amp;VLOOKUP($N146,OFFSET(選手情報!$A$6:$M$119,AH146,0),13,FALSE)),"")</f>
        <v/>
      </c>
      <c r="AJ146" s="127" t="str">
        <f ca="1">IF(AH146&lt;&gt;"",IF(ISNA(VLOOKUP($N146,OFFSET(選手情報!$A$6:$BD$119,AH146,0),56,FALSE)),"",VLOOKUP($N146,OFFSET(選手情報!$A$6:$BD$119,AH146,0),56,FALSE)),"")</f>
        <v/>
      </c>
      <c r="AK146" s="127" t="str">
        <f ca="1">IF(AJ146&lt;&gt;"",IF(ISNA(VLOOKUP($N146,OFFSET(選手情報!$A$6:$M$119,AJ146,0),13,FALSE)),"","/"&amp;VLOOKUP($N146,OFFSET(選手情報!$A$6:$M$119,AJ146,0),13,FALSE)),"")</f>
        <v/>
      </c>
      <c r="AL146" s="127" t="str">
        <f ca="1">IF(AJ146&lt;&gt;"",IF(ISNA(VLOOKUP($N146,OFFSET(選手情報!$A$6:$BD$119,AJ146,0),56,FALSE)),"",VLOOKUP($N146,OFFSET(選手情報!$A$6:$BD$119,AJ146,0),56,FALSE)),"")</f>
        <v/>
      </c>
      <c r="AM146" s="127" t="str">
        <f ca="1">IF(AL146&lt;&gt;"",IF(ISNA(VLOOKUP($N146,OFFSET(選手情報!$A$6:$M$119,AL146,0),13,FALSE)),"","/"&amp;VLOOKUP($N146,OFFSET(選手情報!$A$6:$M$119,AL146,0),13,FALSE)),"")</f>
        <v/>
      </c>
      <c r="AN146" s="127" t="str">
        <f ca="1">IF(AL146&lt;&gt;"",IF(ISNA(VLOOKUP($N146,OFFSET(選手情報!$A$6:$BD$119,AL146,0),56,FALSE)),"",VLOOKUP($N146,OFFSET(選手情報!$A$6:$BD$119,AL146,0),56,FALSE)),"")</f>
        <v/>
      </c>
      <c r="AO146" s="127" t="str">
        <f ca="1">IF(AN146&lt;&gt;"",IF(ISNA(VLOOKUP($N146,OFFSET(選手情報!$A$6:$M$119,AN146,0),13,FALSE)),"","/"&amp;VLOOKUP($N146,OFFSET(選手情報!$A$6:$M$119,AN146,0),13,FALSE)),"")</f>
        <v/>
      </c>
      <c r="AP146" s="127" t="str">
        <f ca="1">IF(AN146&lt;&gt;"",IF(ISNA(VLOOKUP($N146,OFFSET(選手情報!$A$6:$BD$119,AN146,0),56,FALSE)),"",VLOOKUP($N146,OFFSET(選手情報!$A$6:$BD$119,AN146,0),56,FALSE)),"")</f>
        <v/>
      </c>
      <c r="AQ146" s="127" t="str">
        <f ca="1">IF(AP146&lt;&gt;"",IF(ISNA(VLOOKUP($N146,OFFSET(選手情報!$A$6:$M$119,AP146,0),13,FALSE)),"","/"&amp;VLOOKUP($N146,OFFSET(選手情報!$A$6:$M$119,AP146,0),13,FALSE)),"")</f>
        <v/>
      </c>
      <c r="AR146" s="127" t="str">
        <f ca="1">IF(AP146&lt;&gt;"",IF(ISNA(VLOOKUP($N146,OFFSET(選手情報!$A$6:$BD$119,AP146,0),56,FALSE)),"",VLOOKUP($N146,OFFSET(選手情報!$A$6:$BD$119,AP146,0),56,FALSE)),"")</f>
        <v/>
      </c>
      <c r="AS146" s="127" t="str">
        <f ca="1">IF(AR146&lt;&gt;"",IF(ISNA(VLOOKUP($N146,OFFSET(選手情報!$A$6:$M$119,AR146,0),13,FALSE)),"","/"&amp;VLOOKUP($N146,OFFSET(選手情報!$A$6:$M$119,AR146,0),13,FALSE)),"")</f>
        <v/>
      </c>
      <c r="AT146" s="127" t="str">
        <f ca="1">IF(AR146&lt;&gt;"",IF(ISNA(VLOOKUP($N146,OFFSET(選手情報!$A$6:$BD$119,AR146,0),56,FALSE)),"",VLOOKUP($N146,OFFSET(選手情報!$A$6:$BD$119,AR146,0),56,FALSE)),"")</f>
        <v/>
      </c>
      <c r="AU146" s="127" t="str">
        <f ca="1">IF(AT146&lt;&gt;"",IF(ISNA(VLOOKUP($N146,OFFSET(選手情報!$A$6:$M$119,AT146,0),13,FALSE)),"","/"&amp;VLOOKUP($N146,OFFSET(選手情報!$A$6:$M$119,AT146,0),13,FALSE)),"")</f>
        <v/>
      </c>
      <c r="AV146" s="127" t="str">
        <f ca="1">IF(AT146&lt;&gt;"",IF(ISNA(VLOOKUP($N146,OFFSET(選手情報!$A$6:$BD$119,AT146,0),56,FALSE)),"",VLOOKUP($N146,OFFSET(選手情報!$A$6:$BD$119,AT146,0),56,FALSE)),"")</f>
        <v/>
      </c>
      <c r="AW146" s="127" t="str">
        <f ca="1">IF(AV146&lt;&gt;"",IF(ISNA(VLOOKUP($N146,OFFSET(選手情報!$A$6:$M$119,AV146,0),13,FALSE)),"","/"&amp;VLOOKUP($N146,OFFSET(選手情報!$A$6:$M$119,AV146,0),13,FALSE)),"")</f>
        <v/>
      </c>
      <c r="AX146" s="127" t="str">
        <f ca="1">IF(AV146&lt;&gt;"",IF(ISNA(VLOOKUP($N146,OFFSET(選手情報!$A$6:$BD$119,AV146,0),56,FALSE)),"",VLOOKUP($N146,OFFSET(選手情報!$A$6:$BD$119,AV146,0),56,FALSE)),"")</f>
        <v/>
      </c>
      <c r="AY146" s="127" t="str">
        <f ca="1">IF(AX146&lt;&gt;"",IF(ISNA(VLOOKUP($N146,OFFSET(選手情報!$A$6:$M$119,AX146,0),13,FALSE)),"","/"&amp;VLOOKUP($N146,OFFSET(選手情報!$A$6:$M$119,AX146,0),13,FALSE)),"")</f>
        <v/>
      </c>
      <c r="AZ146" s="127" t="str">
        <f ca="1">IF(AX146&lt;&gt;"",IF(ISNA(VLOOKUP($N146,OFFSET(選手情報!$A$6:$BD$119,AX146,0),56,FALSE)),"",VLOOKUP($N146,OFFSET(選手情報!$A$6:$BD$119,AX146,0),56,FALSE)),"")</f>
        <v/>
      </c>
      <c r="BA146" s="127" t="str">
        <f ca="1">IF(AZ146&lt;&gt;"",IF(ISNA(VLOOKUP($N146,OFFSET(選手情報!$A$6:$M$119,AZ146,0),13,FALSE)),"","/"&amp;VLOOKUP($N146,OFFSET(選手情報!$A$6:$M$119,AZ146,0),13,FALSE)),"")</f>
        <v/>
      </c>
      <c r="BB146" s="127" t="str">
        <f ca="1">IF(AZ146&lt;&gt;"",IF(ISNA(VLOOKUP($N146,OFFSET(選手情報!$A$6:$BD$119,AZ146,0),56,FALSE)),"",VLOOKUP($N146,OFFSET(選手情報!$A$6:$BD$119,AZ146,0),56,FALSE)),"")</f>
        <v/>
      </c>
      <c r="BC146" s="127" t="str">
        <f ca="1">IF(BB146&lt;&gt;"",IF(ISNA(VLOOKUP($N146,OFFSET(選手情報!$A$6:$M$119,BB146,0),13,FALSE)),"","/"&amp;VLOOKUP($N146,OFFSET(選手情報!$A$6:$M$119,BB146,0),13,FALSE)),"")</f>
        <v/>
      </c>
      <c r="BD146" s="127" t="str">
        <f ca="1">IF(BB146&lt;&gt;"",IF(ISNA(VLOOKUP($N146,OFFSET(選手情報!$A$6:$BD$119,BB146,0),56,FALSE)),"",VLOOKUP($N146,OFFSET(選手情報!$A$6:$BD$119,BB146,0),56,FALSE)),"")</f>
        <v/>
      </c>
      <c r="BE146" s="127" t="str">
        <f ca="1">IF(BD146&lt;&gt;"",IF(ISNA(VLOOKUP($N146,OFFSET(選手情報!$A$6:$M$119,BD146,0),13,FALSE)),"","/"&amp;VLOOKUP($N146,OFFSET(選手情報!$A$6:$M$119,BD146,0),13,FALSE)),"")</f>
        <v/>
      </c>
      <c r="BF146" s="127" t="str">
        <f ca="1">IF(BD146&lt;&gt;"",IF(ISNA(VLOOKUP($N146,OFFSET(選手情報!$A$6:$BD$119,BD146,0),56,FALSE)),"",VLOOKUP($N146,OFFSET(選手情報!$A$6:$BD$119,BD146,0),56,FALSE)),"")</f>
        <v/>
      </c>
      <c r="BG146" s="127" t="str">
        <f ca="1">IF(BF146&lt;&gt;"",IF(ISNA(VLOOKUP($N146,OFFSET(選手情報!$A$6:$M$119,BF146,0),13,FALSE)),"","/"&amp;VLOOKUP($N146,OFFSET(選手情報!$A$6:$M$119,BF146,0),13,FALSE)),"")</f>
        <v/>
      </c>
      <c r="BH146" s="127" t="str">
        <f ca="1">IF(BF146&lt;&gt;"",IF(ISNA(VLOOKUP($N146,OFFSET(選手情報!$A$6:$BD$119,BF146,0),56,FALSE)),"",VLOOKUP($N146,OFFSET(選手情報!$A$6:$BD$119,BF146,0),56,FALSE)),"")</f>
        <v/>
      </c>
      <c r="BI146" s="127" t="str">
        <f ca="1">IF(BH146&lt;&gt;"",IF(ISNA(VLOOKUP($N146,OFFSET(選手情報!$A$6:$M$119,BH146,0),13,FALSE)),"","/"&amp;VLOOKUP($N146,OFFSET(選手情報!$A$6:$M$119,BH146,0),13,FALSE)),"")</f>
        <v/>
      </c>
    </row>
    <row r="147" spans="1:61" s="127" customFormat="1" ht="12.6" customHeight="1">
      <c r="A147" s="128" t="str">
        <f>IF(ISNA(VLOOKUP($C$2&amp;N147,選手データ!A:H,3,FALSE)),"",IF(M147&lt;&gt;M146,VLOOKUP($C$2&amp;N147,選手データ!A:H,3,FALSE),""))</f>
        <v/>
      </c>
      <c r="B147" s="129" t="str">
        <f>IF(A147&lt;&gt;"",VLOOKUP($C$2&amp;N147,選手データ!A:H,4,FALSE),"")</f>
        <v/>
      </c>
      <c r="C147" s="129" t="str">
        <f>IF(A147&lt;&gt;"",VLOOKUP($C$2&amp;N147,選手データ!A:H,5,FALSE),"")</f>
        <v/>
      </c>
      <c r="D147" s="129" t="str">
        <f>IF(A147&lt;&gt;"",VLOOKUP($C$2&amp;N147,選手データ!A:H,6,FALSE),"")</f>
        <v/>
      </c>
      <c r="E147" s="129" t="str">
        <f>IF(A147&lt;&gt;"",VLOOKUP($C$2&amp;N147,選手データ!A:H,7,FALSE),"")</f>
        <v/>
      </c>
      <c r="F147" s="130" t="str">
        <f>IF(A147&lt;&gt;"",VLOOKUP($C$2&amp;N147,選手データ!A:H,8,FALSE),"")</f>
        <v/>
      </c>
      <c r="G147" s="130" t="str">
        <f>IF(F147&lt;&gt;"",IF(DATEDIF(F147,設定!$B$12,"Y")&lt;20,"〇",""),"")</f>
        <v/>
      </c>
      <c r="H147" s="131" t="str">
        <f t="shared" ca="1" si="19"/>
        <v/>
      </c>
      <c r="I147" s="132" t="str">
        <f t="shared" ca="1" si="20"/>
        <v/>
      </c>
      <c r="J147" s="131" t="str">
        <f t="shared" ca="1" si="21"/>
        <v/>
      </c>
      <c r="K147" s="130" t="str">
        <f>IF(A147&lt;&gt;"",IF(COUNTIF(リレーチーム情報!$B$17:$B$22,A147&amp;E147)=1,"〇",""),"")</f>
        <v/>
      </c>
      <c r="L147" s="133" t="str">
        <f>IF(A147&lt;&gt;"",IF(COUNTIF(リレーチーム情報!$B$23:$B$28,A147&amp;E147)=1,"〇",""),"")</f>
        <v/>
      </c>
      <c r="M147" s="127">
        <f>IF(学校情報!$A$4&lt;&gt;"",0,IF(S146=0,MAX($M$109:M146)+1,M146))</f>
        <v>0</v>
      </c>
      <c r="N147" s="127" t="str">
        <f>IF(M147&lt;&gt;0,VLOOKUP(M147,選手情報!BI:BJ,2,FALSE),"")</f>
        <v/>
      </c>
      <c r="O147" s="127" t="str">
        <f ca="1">IF(M147&lt;&gt;0,VLOOKUP(N147,OFFSET(選手情報!$A$6:$W$119,IF(M147&lt;&gt;M146,0,R146),0),13,FALSE),"")</f>
        <v/>
      </c>
      <c r="P147" s="127" t="str">
        <f ca="1">IF(M147&lt;&gt;0,VLOOKUP(N147,OFFSET(選手情報!$A$6:$W$119,IF(M147&lt;&gt;M146,0,R146),0),16,FALSE),"")</f>
        <v/>
      </c>
      <c r="Q147" s="127" t="str">
        <f ca="1">IF(M147&lt;&gt;0,VLOOKUP(N147,OFFSET(選手情報!$A$6:$W$119,IF(M147&lt;&gt;M146,0,R146),0),21,FALSE),"")</f>
        <v/>
      </c>
      <c r="R147" s="127">
        <f ca="1">IF(M147&lt;&gt;0,VLOOKUP(N147,OFFSET(選手情報!$A$6:$BD$119,IF(M147&lt;&gt;M146,0,R146),0),56,FALSE),0)</f>
        <v>0</v>
      </c>
      <c r="S147" s="127">
        <f ca="1">IF(M147&lt;&gt;0,IF(ISNA(R147),0,COUNTIF(OFFSET(選手情報!$A$6:$A$119,R147,0),N147)),0)</f>
        <v>0</v>
      </c>
      <c r="U147" s="127">
        <f t="shared" si="16"/>
        <v>0</v>
      </c>
      <c r="V147" s="127">
        <f t="shared" ca="1" si="17"/>
        <v>1</v>
      </c>
      <c r="W147" s="127">
        <f t="shared" ca="1" si="12"/>
        <v>0</v>
      </c>
      <c r="X147" s="127" t="str">
        <f t="shared" ca="1" si="18"/>
        <v/>
      </c>
      <c r="Y147" s="127" t="str">
        <f>IF($A147&lt;&gt;"",IF(ISNA(VLOOKUP($N147,選手情報!$A$6:$M$119,13,FALSE)),"","/"&amp;VLOOKUP($N147,選手情報!$A$6:$M$119,13,FALSE)),"")</f>
        <v/>
      </c>
      <c r="Z147" s="127" t="str">
        <f ca="1">IF(Y147&lt;&gt;"",IF(ISNA(VLOOKUP($N147,OFFSET(選手情報!$A$6:$BD$119,0,0),56,FALSE)),"",VLOOKUP($N147,OFFSET(選手情報!$A$6:$BD$119,0,0),56,FALSE)),"")</f>
        <v/>
      </c>
      <c r="AA147" s="127" t="str">
        <f ca="1">IF(Z147&lt;&gt;"",IF(ISNA(VLOOKUP($N147,OFFSET(選手情報!$A$6:$M$119,Z147,0),13,FALSE)),"","/"&amp;VLOOKUP($N147,OFFSET(選手情報!$A$6:$M$119,Z147,0),13,FALSE)),"")</f>
        <v/>
      </c>
      <c r="AB147" s="127" t="str">
        <f ca="1">IF(Z147&lt;&gt;"",IF(ISNA(VLOOKUP($N147,OFFSET(選手情報!$A$6:$BD$119,Z147,0),56,FALSE)),"",VLOOKUP($N147,OFFSET(選手情報!$A$6:$BD$119,Z147,0),56,FALSE)),"")</f>
        <v/>
      </c>
      <c r="AC147" s="127" t="str">
        <f ca="1">IF(AB147&lt;&gt;"",IF(ISNA(VLOOKUP($N147,OFFSET(選手情報!$A$6:$M$119,AB147,0),13,FALSE)),"","/"&amp;VLOOKUP($N147,OFFSET(選手情報!$A$6:$M$119,AB147,0),13,FALSE)),"")</f>
        <v/>
      </c>
      <c r="AD147" s="127" t="str">
        <f ca="1">IF(AB147&lt;&gt;"",IF(ISNA(VLOOKUP($N147,OFFSET(選手情報!$A$6:$BD$119,AB147,0),56,FALSE)),"",VLOOKUP($N147,OFFSET(選手情報!$A$6:$BD$119,AB147,0),56,FALSE)),"")</f>
        <v/>
      </c>
      <c r="AE147" s="127" t="str">
        <f ca="1">IF(AD147&lt;&gt;"",IF(ISNA(VLOOKUP($N147,OFFSET(選手情報!$A$6:$M$119,AD147,0),13,FALSE)),"","/"&amp;VLOOKUP($N147,OFFSET(選手情報!$A$6:$M$119,AD147,0),13,FALSE)),"")</f>
        <v/>
      </c>
      <c r="AF147" s="127" t="str">
        <f ca="1">IF(AD147&lt;&gt;"",IF(ISNA(VLOOKUP($N147,OFFSET(選手情報!$A$6:$BD$119,AD147,0),56,FALSE)),"",VLOOKUP($N147,OFFSET(選手情報!$A$6:$BD$119,AD147,0),56,FALSE)),"")</f>
        <v/>
      </c>
      <c r="AG147" s="127" t="str">
        <f ca="1">IF(AF147&lt;&gt;"",IF(ISNA(VLOOKUP($N147,OFFSET(選手情報!$A$6:$M$119,AF147,0),13,FALSE)),"","/"&amp;VLOOKUP($N147,OFFSET(選手情報!$A$6:$M$119,AF147,0),13,FALSE)),"")</f>
        <v/>
      </c>
      <c r="AH147" s="127" t="str">
        <f ca="1">IF(AF147&lt;&gt;"",IF(ISNA(VLOOKUP($N147,OFFSET(選手情報!$A$6:$BD$119,AF147,0),56,FALSE)),"",VLOOKUP($N147,OFFSET(選手情報!$A$6:$BD$119,AF147,0),56,FALSE)),"")</f>
        <v/>
      </c>
      <c r="AI147" s="127" t="str">
        <f ca="1">IF(AH147&lt;&gt;"",IF(ISNA(VLOOKUP($N147,OFFSET(選手情報!$A$6:$M$119,AH147,0),13,FALSE)),"","/"&amp;VLOOKUP($N147,OFFSET(選手情報!$A$6:$M$119,AH147,0),13,FALSE)),"")</f>
        <v/>
      </c>
      <c r="AJ147" s="127" t="str">
        <f ca="1">IF(AH147&lt;&gt;"",IF(ISNA(VLOOKUP($N147,OFFSET(選手情報!$A$6:$BD$119,AH147,0),56,FALSE)),"",VLOOKUP($N147,OFFSET(選手情報!$A$6:$BD$119,AH147,0),56,FALSE)),"")</f>
        <v/>
      </c>
      <c r="AK147" s="127" t="str">
        <f ca="1">IF(AJ147&lt;&gt;"",IF(ISNA(VLOOKUP($N147,OFFSET(選手情報!$A$6:$M$119,AJ147,0),13,FALSE)),"","/"&amp;VLOOKUP($N147,OFFSET(選手情報!$A$6:$M$119,AJ147,0),13,FALSE)),"")</f>
        <v/>
      </c>
      <c r="AL147" s="127" t="str">
        <f ca="1">IF(AJ147&lt;&gt;"",IF(ISNA(VLOOKUP($N147,OFFSET(選手情報!$A$6:$BD$119,AJ147,0),56,FALSE)),"",VLOOKUP($N147,OFFSET(選手情報!$A$6:$BD$119,AJ147,0),56,FALSE)),"")</f>
        <v/>
      </c>
      <c r="AM147" s="127" t="str">
        <f ca="1">IF(AL147&lt;&gt;"",IF(ISNA(VLOOKUP($N147,OFFSET(選手情報!$A$6:$M$119,AL147,0),13,FALSE)),"","/"&amp;VLOOKUP($N147,OFFSET(選手情報!$A$6:$M$119,AL147,0),13,FALSE)),"")</f>
        <v/>
      </c>
      <c r="AN147" s="127" t="str">
        <f ca="1">IF(AL147&lt;&gt;"",IF(ISNA(VLOOKUP($N147,OFFSET(選手情報!$A$6:$BD$119,AL147,0),56,FALSE)),"",VLOOKUP($N147,OFFSET(選手情報!$A$6:$BD$119,AL147,0),56,FALSE)),"")</f>
        <v/>
      </c>
      <c r="AO147" s="127" t="str">
        <f ca="1">IF(AN147&lt;&gt;"",IF(ISNA(VLOOKUP($N147,OFFSET(選手情報!$A$6:$M$119,AN147,0),13,FALSE)),"","/"&amp;VLOOKUP($N147,OFFSET(選手情報!$A$6:$M$119,AN147,0),13,FALSE)),"")</f>
        <v/>
      </c>
      <c r="AP147" s="127" t="str">
        <f ca="1">IF(AN147&lt;&gt;"",IF(ISNA(VLOOKUP($N147,OFFSET(選手情報!$A$6:$BD$119,AN147,0),56,FALSE)),"",VLOOKUP($N147,OFFSET(選手情報!$A$6:$BD$119,AN147,0),56,FALSE)),"")</f>
        <v/>
      </c>
      <c r="AQ147" s="127" t="str">
        <f ca="1">IF(AP147&lt;&gt;"",IF(ISNA(VLOOKUP($N147,OFFSET(選手情報!$A$6:$M$119,AP147,0),13,FALSE)),"","/"&amp;VLOOKUP($N147,OFFSET(選手情報!$A$6:$M$119,AP147,0),13,FALSE)),"")</f>
        <v/>
      </c>
      <c r="AR147" s="127" t="str">
        <f ca="1">IF(AP147&lt;&gt;"",IF(ISNA(VLOOKUP($N147,OFFSET(選手情報!$A$6:$BD$119,AP147,0),56,FALSE)),"",VLOOKUP($N147,OFFSET(選手情報!$A$6:$BD$119,AP147,0),56,FALSE)),"")</f>
        <v/>
      </c>
      <c r="AS147" s="127" t="str">
        <f ca="1">IF(AR147&lt;&gt;"",IF(ISNA(VLOOKUP($N147,OFFSET(選手情報!$A$6:$M$119,AR147,0),13,FALSE)),"","/"&amp;VLOOKUP($N147,OFFSET(選手情報!$A$6:$M$119,AR147,0),13,FALSE)),"")</f>
        <v/>
      </c>
      <c r="AT147" s="127" t="str">
        <f ca="1">IF(AR147&lt;&gt;"",IF(ISNA(VLOOKUP($N147,OFFSET(選手情報!$A$6:$BD$119,AR147,0),56,FALSE)),"",VLOOKUP($N147,OFFSET(選手情報!$A$6:$BD$119,AR147,0),56,FALSE)),"")</f>
        <v/>
      </c>
      <c r="AU147" s="127" t="str">
        <f ca="1">IF(AT147&lt;&gt;"",IF(ISNA(VLOOKUP($N147,OFFSET(選手情報!$A$6:$M$119,AT147,0),13,FALSE)),"","/"&amp;VLOOKUP($N147,OFFSET(選手情報!$A$6:$M$119,AT147,0),13,FALSE)),"")</f>
        <v/>
      </c>
      <c r="AV147" s="127" t="str">
        <f ca="1">IF(AT147&lt;&gt;"",IF(ISNA(VLOOKUP($N147,OFFSET(選手情報!$A$6:$BD$119,AT147,0),56,FALSE)),"",VLOOKUP($N147,OFFSET(選手情報!$A$6:$BD$119,AT147,0),56,FALSE)),"")</f>
        <v/>
      </c>
      <c r="AW147" s="127" t="str">
        <f ca="1">IF(AV147&lt;&gt;"",IF(ISNA(VLOOKUP($N147,OFFSET(選手情報!$A$6:$M$119,AV147,0),13,FALSE)),"","/"&amp;VLOOKUP($N147,OFFSET(選手情報!$A$6:$M$119,AV147,0),13,FALSE)),"")</f>
        <v/>
      </c>
      <c r="AX147" s="127" t="str">
        <f ca="1">IF(AV147&lt;&gt;"",IF(ISNA(VLOOKUP($N147,OFFSET(選手情報!$A$6:$BD$119,AV147,0),56,FALSE)),"",VLOOKUP($N147,OFFSET(選手情報!$A$6:$BD$119,AV147,0),56,FALSE)),"")</f>
        <v/>
      </c>
      <c r="AY147" s="127" t="str">
        <f ca="1">IF(AX147&lt;&gt;"",IF(ISNA(VLOOKUP($N147,OFFSET(選手情報!$A$6:$M$119,AX147,0),13,FALSE)),"","/"&amp;VLOOKUP($N147,OFFSET(選手情報!$A$6:$M$119,AX147,0),13,FALSE)),"")</f>
        <v/>
      </c>
      <c r="AZ147" s="127" t="str">
        <f ca="1">IF(AX147&lt;&gt;"",IF(ISNA(VLOOKUP($N147,OFFSET(選手情報!$A$6:$BD$119,AX147,0),56,FALSE)),"",VLOOKUP($N147,OFFSET(選手情報!$A$6:$BD$119,AX147,0),56,FALSE)),"")</f>
        <v/>
      </c>
      <c r="BA147" s="127" t="str">
        <f ca="1">IF(AZ147&lt;&gt;"",IF(ISNA(VLOOKUP($N147,OFFSET(選手情報!$A$6:$M$119,AZ147,0),13,FALSE)),"","/"&amp;VLOOKUP($N147,OFFSET(選手情報!$A$6:$M$119,AZ147,0),13,FALSE)),"")</f>
        <v/>
      </c>
      <c r="BB147" s="127" t="str">
        <f ca="1">IF(AZ147&lt;&gt;"",IF(ISNA(VLOOKUP($N147,OFFSET(選手情報!$A$6:$BD$119,AZ147,0),56,FALSE)),"",VLOOKUP($N147,OFFSET(選手情報!$A$6:$BD$119,AZ147,0),56,FALSE)),"")</f>
        <v/>
      </c>
      <c r="BC147" s="127" t="str">
        <f ca="1">IF(BB147&lt;&gt;"",IF(ISNA(VLOOKUP($N147,OFFSET(選手情報!$A$6:$M$119,BB147,0),13,FALSE)),"","/"&amp;VLOOKUP($N147,OFFSET(選手情報!$A$6:$M$119,BB147,0),13,FALSE)),"")</f>
        <v/>
      </c>
      <c r="BD147" s="127" t="str">
        <f ca="1">IF(BB147&lt;&gt;"",IF(ISNA(VLOOKUP($N147,OFFSET(選手情報!$A$6:$BD$119,BB147,0),56,FALSE)),"",VLOOKUP($N147,OFFSET(選手情報!$A$6:$BD$119,BB147,0),56,FALSE)),"")</f>
        <v/>
      </c>
      <c r="BE147" s="127" t="str">
        <f ca="1">IF(BD147&lt;&gt;"",IF(ISNA(VLOOKUP($N147,OFFSET(選手情報!$A$6:$M$119,BD147,0),13,FALSE)),"","/"&amp;VLOOKUP($N147,OFFSET(選手情報!$A$6:$M$119,BD147,0),13,FALSE)),"")</f>
        <v/>
      </c>
      <c r="BF147" s="127" t="str">
        <f ca="1">IF(BD147&lt;&gt;"",IF(ISNA(VLOOKUP($N147,OFFSET(選手情報!$A$6:$BD$119,BD147,0),56,FALSE)),"",VLOOKUP($N147,OFFSET(選手情報!$A$6:$BD$119,BD147,0),56,FALSE)),"")</f>
        <v/>
      </c>
      <c r="BG147" s="127" t="str">
        <f ca="1">IF(BF147&lt;&gt;"",IF(ISNA(VLOOKUP($N147,OFFSET(選手情報!$A$6:$M$119,BF147,0),13,FALSE)),"","/"&amp;VLOOKUP($N147,OFFSET(選手情報!$A$6:$M$119,BF147,0),13,FALSE)),"")</f>
        <v/>
      </c>
      <c r="BH147" s="127" t="str">
        <f ca="1">IF(BF147&lt;&gt;"",IF(ISNA(VLOOKUP($N147,OFFSET(選手情報!$A$6:$BD$119,BF147,0),56,FALSE)),"",VLOOKUP($N147,OFFSET(選手情報!$A$6:$BD$119,BF147,0),56,FALSE)),"")</f>
        <v/>
      </c>
      <c r="BI147" s="127" t="str">
        <f ca="1">IF(BH147&lt;&gt;"",IF(ISNA(VLOOKUP($N147,OFFSET(選手情報!$A$6:$M$119,BH147,0),13,FALSE)),"","/"&amp;VLOOKUP($N147,OFFSET(選手情報!$A$6:$M$119,BH147,0),13,FALSE)),"")</f>
        <v/>
      </c>
    </row>
    <row r="148" spans="1:61" s="127" customFormat="1" ht="12.6" customHeight="1">
      <c r="A148" s="128" t="str">
        <f>IF(ISNA(VLOOKUP($C$2&amp;N148,選手データ!A:H,3,FALSE)),"",IF(M148&lt;&gt;M147,VLOOKUP($C$2&amp;N148,選手データ!A:H,3,FALSE),""))</f>
        <v/>
      </c>
      <c r="B148" s="129" t="str">
        <f>IF(A148&lt;&gt;"",VLOOKUP($C$2&amp;N148,選手データ!A:H,4,FALSE),"")</f>
        <v/>
      </c>
      <c r="C148" s="129" t="str">
        <f>IF(A148&lt;&gt;"",VLOOKUP($C$2&amp;N148,選手データ!A:H,5,FALSE),"")</f>
        <v/>
      </c>
      <c r="D148" s="129" t="str">
        <f>IF(A148&lt;&gt;"",VLOOKUP($C$2&amp;N148,選手データ!A:H,6,FALSE),"")</f>
        <v/>
      </c>
      <c r="E148" s="129" t="str">
        <f>IF(A148&lt;&gt;"",VLOOKUP($C$2&amp;N148,選手データ!A:H,7,FALSE),"")</f>
        <v/>
      </c>
      <c r="F148" s="130" t="str">
        <f>IF(A148&lt;&gt;"",VLOOKUP($C$2&amp;N148,選手データ!A:H,8,FALSE),"")</f>
        <v/>
      </c>
      <c r="G148" s="130" t="str">
        <f>IF(F148&lt;&gt;"",IF(DATEDIF(F148,設定!$B$12,"Y")&lt;20,"〇",""),"")</f>
        <v/>
      </c>
      <c r="H148" s="131" t="str">
        <f t="shared" ca="1" si="19"/>
        <v/>
      </c>
      <c r="I148" s="132" t="str">
        <f t="shared" ca="1" si="20"/>
        <v/>
      </c>
      <c r="J148" s="131" t="str">
        <f t="shared" ca="1" si="21"/>
        <v/>
      </c>
      <c r="K148" s="130" t="str">
        <f>IF(A148&lt;&gt;"",IF(COUNTIF(リレーチーム情報!$B$17:$B$22,A148&amp;E148)=1,"〇",""),"")</f>
        <v/>
      </c>
      <c r="L148" s="133" t="str">
        <f>IF(A148&lt;&gt;"",IF(COUNTIF(リレーチーム情報!$B$23:$B$28,A148&amp;E148)=1,"〇",""),"")</f>
        <v/>
      </c>
      <c r="M148" s="127">
        <f>IF(学校情報!$A$4&lt;&gt;"",0,IF(S147=0,MAX($M$109:M147)+1,M147))</f>
        <v>0</v>
      </c>
      <c r="N148" s="127" t="str">
        <f>IF(M148&lt;&gt;0,VLOOKUP(M148,選手情報!BI:BJ,2,FALSE),"")</f>
        <v/>
      </c>
      <c r="O148" s="127" t="str">
        <f ca="1">IF(M148&lt;&gt;0,VLOOKUP(N148,OFFSET(選手情報!$A$6:$W$119,IF(M148&lt;&gt;M147,0,R147),0),13,FALSE),"")</f>
        <v/>
      </c>
      <c r="P148" s="127" t="str">
        <f ca="1">IF(M148&lt;&gt;0,VLOOKUP(N148,OFFSET(選手情報!$A$6:$W$119,IF(M148&lt;&gt;M147,0,R147),0),16,FALSE),"")</f>
        <v/>
      </c>
      <c r="Q148" s="127" t="str">
        <f ca="1">IF(M148&lt;&gt;0,VLOOKUP(N148,OFFSET(選手情報!$A$6:$W$119,IF(M148&lt;&gt;M147,0,R147),0),21,FALSE),"")</f>
        <v/>
      </c>
      <c r="R148" s="127">
        <f ca="1">IF(M148&lt;&gt;0,VLOOKUP(N148,OFFSET(選手情報!$A$6:$BD$119,IF(M148&lt;&gt;M147,0,R147),0),56,FALSE),0)</f>
        <v>0</v>
      </c>
      <c r="S148" s="127">
        <f ca="1">IF(M148&lt;&gt;0,IF(ISNA(R148),0,COUNTIF(OFFSET(選手情報!$A$6:$A$119,R148,0),N148)),0)</f>
        <v>0</v>
      </c>
      <c r="U148" s="127">
        <f t="shared" si="16"/>
        <v>0</v>
      </c>
      <c r="V148" s="127">
        <f t="shared" ca="1" si="17"/>
        <v>1</v>
      </c>
      <c r="W148" s="127">
        <f t="shared" ca="1" si="12"/>
        <v>0</v>
      </c>
      <c r="X148" s="127" t="str">
        <f t="shared" ca="1" si="18"/>
        <v/>
      </c>
      <c r="Y148" s="127" t="str">
        <f>IF($A148&lt;&gt;"",IF(ISNA(VLOOKUP($N148,選手情報!$A$6:$M$119,13,FALSE)),"","/"&amp;VLOOKUP($N148,選手情報!$A$6:$M$119,13,FALSE)),"")</f>
        <v/>
      </c>
      <c r="Z148" s="127" t="str">
        <f ca="1">IF(Y148&lt;&gt;"",IF(ISNA(VLOOKUP($N148,OFFSET(選手情報!$A$6:$BD$119,0,0),56,FALSE)),"",VLOOKUP($N148,OFFSET(選手情報!$A$6:$BD$119,0,0),56,FALSE)),"")</f>
        <v/>
      </c>
      <c r="AA148" s="127" t="str">
        <f ca="1">IF(Z148&lt;&gt;"",IF(ISNA(VLOOKUP($N148,OFFSET(選手情報!$A$6:$M$119,Z148,0),13,FALSE)),"","/"&amp;VLOOKUP($N148,OFFSET(選手情報!$A$6:$M$119,Z148,0),13,FALSE)),"")</f>
        <v/>
      </c>
      <c r="AB148" s="127" t="str">
        <f ca="1">IF(Z148&lt;&gt;"",IF(ISNA(VLOOKUP($N148,OFFSET(選手情報!$A$6:$BD$119,Z148,0),56,FALSE)),"",VLOOKUP($N148,OFFSET(選手情報!$A$6:$BD$119,Z148,0),56,FALSE)),"")</f>
        <v/>
      </c>
      <c r="AC148" s="127" t="str">
        <f ca="1">IF(AB148&lt;&gt;"",IF(ISNA(VLOOKUP($N148,OFFSET(選手情報!$A$6:$M$119,AB148,0),13,FALSE)),"","/"&amp;VLOOKUP($N148,OFFSET(選手情報!$A$6:$M$119,AB148,0),13,FALSE)),"")</f>
        <v/>
      </c>
      <c r="AD148" s="127" t="str">
        <f ca="1">IF(AB148&lt;&gt;"",IF(ISNA(VLOOKUP($N148,OFFSET(選手情報!$A$6:$BD$119,AB148,0),56,FALSE)),"",VLOOKUP($N148,OFFSET(選手情報!$A$6:$BD$119,AB148,0),56,FALSE)),"")</f>
        <v/>
      </c>
      <c r="AE148" s="127" t="str">
        <f ca="1">IF(AD148&lt;&gt;"",IF(ISNA(VLOOKUP($N148,OFFSET(選手情報!$A$6:$M$119,AD148,0),13,FALSE)),"","/"&amp;VLOOKUP($N148,OFFSET(選手情報!$A$6:$M$119,AD148,0),13,FALSE)),"")</f>
        <v/>
      </c>
      <c r="AF148" s="127" t="str">
        <f ca="1">IF(AD148&lt;&gt;"",IF(ISNA(VLOOKUP($N148,OFFSET(選手情報!$A$6:$BD$119,AD148,0),56,FALSE)),"",VLOOKUP($N148,OFFSET(選手情報!$A$6:$BD$119,AD148,0),56,FALSE)),"")</f>
        <v/>
      </c>
      <c r="AG148" s="127" t="str">
        <f ca="1">IF(AF148&lt;&gt;"",IF(ISNA(VLOOKUP($N148,OFFSET(選手情報!$A$6:$M$119,AF148,0),13,FALSE)),"","/"&amp;VLOOKUP($N148,OFFSET(選手情報!$A$6:$M$119,AF148,0),13,FALSE)),"")</f>
        <v/>
      </c>
      <c r="AH148" s="127" t="str">
        <f ca="1">IF(AF148&lt;&gt;"",IF(ISNA(VLOOKUP($N148,OFFSET(選手情報!$A$6:$BD$119,AF148,0),56,FALSE)),"",VLOOKUP($N148,OFFSET(選手情報!$A$6:$BD$119,AF148,0),56,FALSE)),"")</f>
        <v/>
      </c>
      <c r="AI148" s="127" t="str">
        <f ca="1">IF(AH148&lt;&gt;"",IF(ISNA(VLOOKUP($N148,OFFSET(選手情報!$A$6:$M$119,AH148,0),13,FALSE)),"","/"&amp;VLOOKUP($N148,OFFSET(選手情報!$A$6:$M$119,AH148,0),13,FALSE)),"")</f>
        <v/>
      </c>
      <c r="AJ148" s="127" t="str">
        <f ca="1">IF(AH148&lt;&gt;"",IF(ISNA(VLOOKUP($N148,OFFSET(選手情報!$A$6:$BD$119,AH148,0),56,FALSE)),"",VLOOKUP($N148,OFFSET(選手情報!$A$6:$BD$119,AH148,0),56,FALSE)),"")</f>
        <v/>
      </c>
      <c r="AK148" s="127" t="str">
        <f ca="1">IF(AJ148&lt;&gt;"",IF(ISNA(VLOOKUP($N148,OFFSET(選手情報!$A$6:$M$119,AJ148,0),13,FALSE)),"","/"&amp;VLOOKUP($N148,OFFSET(選手情報!$A$6:$M$119,AJ148,0),13,FALSE)),"")</f>
        <v/>
      </c>
      <c r="AL148" s="127" t="str">
        <f ca="1">IF(AJ148&lt;&gt;"",IF(ISNA(VLOOKUP($N148,OFFSET(選手情報!$A$6:$BD$119,AJ148,0),56,FALSE)),"",VLOOKUP($N148,OFFSET(選手情報!$A$6:$BD$119,AJ148,0),56,FALSE)),"")</f>
        <v/>
      </c>
      <c r="AM148" s="127" t="str">
        <f ca="1">IF(AL148&lt;&gt;"",IF(ISNA(VLOOKUP($N148,OFFSET(選手情報!$A$6:$M$119,AL148,0),13,FALSE)),"","/"&amp;VLOOKUP($N148,OFFSET(選手情報!$A$6:$M$119,AL148,0),13,FALSE)),"")</f>
        <v/>
      </c>
      <c r="AN148" s="127" t="str">
        <f ca="1">IF(AL148&lt;&gt;"",IF(ISNA(VLOOKUP($N148,OFFSET(選手情報!$A$6:$BD$119,AL148,0),56,FALSE)),"",VLOOKUP($N148,OFFSET(選手情報!$A$6:$BD$119,AL148,0),56,FALSE)),"")</f>
        <v/>
      </c>
      <c r="AO148" s="127" t="str">
        <f ca="1">IF(AN148&lt;&gt;"",IF(ISNA(VLOOKUP($N148,OFFSET(選手情報!$A$6:$M$119,AN148,0),13,FALSE)),"","/"&amp;VLOOKUP($N148,OFFSET(選手情報!$A$6:$M$119,AN148,0),13,FALSE)),"")</f>
        <v/>
      </c>
      <c r="AP148" s="127" t="str">
        <f ca="1">IF(AN148&lt;&gt;"",IF(ISNA(VLOOKUP($N148,OFFSET(選手情報!$A$6:$BD$119,AN148,0),56,FALSE)),"",VLOOKUP($N148,OFFSET(選手情報!$A$6:$BD$119,AN148,0),56,FALSE)),"")</f>
        <v/>
      </c>
      <c r="AQ148" s="127" t="str">
        <f ca="1">IF(AP148&lt;&gt;"",IF(ISNA(VLOOKUP($N148,OFFSET(選手情報!$A$6:$M$119,AP148,0),13,FALSE)),"","/"&amp;VLOOKUP($N148,OFFSET(選手情報!$A$6:$M$119,AP148,0),13,FALSE)),"")</f>
        <v/>
      </c>
      <c r="AR148" s="127" t="str">
        <f ca="1">IF(AP148&lt;&gt;"",IF(ISNA(VLOOKUP($N148,OFFSET(選手情報!$A$6:$BD$119,AP148,0),56,FALSE)),"",VLOOKUP($N148,OFFSET(選手情報!$A$6:$BD$119,AP148,0),56,FALSE)),"")</f>
        <v/>
      </c>
      <c r="AS148" s="127" t="str">
        <f ca="1">IF(AR148&lt;&gt;"",IF(ISNA(VLOOKUP($N148,OFFSET(選手情報!$A$6:$M$119,AR148,0),13,FALSE)),"","/"&amp;VLOOKUP($N148,OFFSET(選手情報!$A$6:$M$119,AR148,0),13,FALSE)),"")</f>
        <v/>
      </c>
      <c r="AT148" s="127" t="str">
        <f ca="1">IF(AR148&lt;&gt;"",IF(ISNA(VLOOKUP($N148,OFFSET(選手情報!$A$6:$BD$119,AR148,0),56,FALSE)),"",VLOOKUP($N148,OFFSET(選手情報!$A$6:$BD$119,AR148,0),56,FALSE)),"")</f>
        <v/>
      </c>
      <c r="AU148" s="127" t="str">
        <f ca="1">IF(AT148&lt;&gt;"",IF(ISNA(VLOOKUP($N148,OFFSET(選手情報!$A$6:$M$119,AT148,0),13,FALSE)),"","/"&amp;VLOOKUP($N148,OFFSET(選手情報!$A$6:$M$119,AT148,0),13,FALSE)),"")</f>
        <v/>
      </c>
      <c r="AV148" s="127" t="str">
        <f ca="1">IF(AT148&lt;&gt;"",IF(ISNA(VLOOKUP($N148,OFFSET(選手情報!$A$6:$BD$119,AT148,0),56,FALSE)),"",VLOOKUP($N148,OFFSET(選手情報!$A$6:$BD$119,AT148,0),56,FALSE)),"")</f>
        <v/>
      </c>
      <c r="AW148" s="127" t="str">
        <f ca="1">IF(AV148&lt;&gt;"",IF(ISNA(VLOOKUP($N148,OFFSET(選手情報!$A$6:$M$119,AV148,0),13,FALSE)),"","/"&amp;VLOOKUP($N148,OFFSET(選手情報!$A$6:$M$119,AV148,0),13,FALSE)),"")</f>
        <v/>
      </c>
      <c r="AX148" s="127" t="str">
        <f ca="1">IF(AV148&lt;&gt;"",IF(ISNA(VLOOKUP($N148,OFFSET(選手情報!$A$6:$BD$119,AV148,0),56,FALSE)),"",VLOOKUP($N148,OFFSET(選手情報!$A$6:$BD$119,AV148,0),56,FALSE)),"")</f>
        <v/>
      </c>
      <c r="AY148" s="127" t="str">
        <f ca="1">IF(AX148&lt;&gt;"",IF(ISNA(VLOOKUP($N148,OFFSET(選手情報!$A$6:$M$119,AX148,0),13,FALSE)),"","/"&amp;VLOOKUP($N148,OFFSET(選手情報!$A$6:$M$119,AX148,0),13,FALSE)),"")</f>
        <v/>
      </c>
      <c r="AZ148" s="127" t="str">
        <f ca="1">IF(AX148&lt;&gt;"",IF(ISNA(VLOOKUP($N148,OFFSET(選手情報!$A$6:$BD$119,AX148,0),56,FALSE)),"",VLOOKUP($N148,OFFSET(選手情報!$A$6:$BD$119,AX148,0),56,FALSE)),"")</f>
        <v/>
      </c>
      <c r="BA148" s="127" t="str">
        <f ca="1">IF(AZ148&lt;&gt;"",IF(ISNA(VLOOKUP($N148,OFFSET(選手情報!$A$6:$M$119,AZ148,0),13,FALSE)),"","/"&amp;VLOOKUP($N148,OFFSET(選手情報!$A$6:$M$119,AZ148,0),13,FALSE)),"")</f>
        <v/>
      </c>
      <c r="BB148" s="127" t="str">
        <f ca="1">IF(AZ148&lt;&gt;"",IF(ISNA(VLOOKUP($N148,OFFSET(選手情報!$A$6:$BD$119,AZ148,0),56,FALSE)),"",VLOOKUP($N148,OFFSET(選手情報!$A$6:$BD$119,AZ148,0),56,FALSE)),"")</f>
        <v/>
      </c>
      <c r="BC148" s="127" t="str">
        <f ca="1">IF(BB148&lt;&gt;"",IF(ISNA(VLOOKUP($N148,OFFSET(選手情報!$A$6:$M$119,BB148,0),13,FALSE)),"","/"&amp;VLOOKUP($N148,OFFSET(選手情報!$A$6:$M$119,BB148,0),13,FALSE)),"")</f>
        <v/>
      </c>
      <c r="BD148" s="127" t="str">
        <f ca="1">IF(BB148&lt;&gt;"",IF(ISNA(VLOOKUP($N148,OFFSET(選手情報!$A$6:$BD$119,BB148,0),56,FALSE)),"",VLOOKUP($N148,OFFSET(選手情報!$A$6:$BD$119,BB148,0),56,FALSE)),"")</f>
        <v/>
      </c>
      <c r="BE148" s="127" t="str">
        <f ca="1">IF(BD148&lt;&gt;"",IF(ISNA(VLOOKUP($N148,OFFSET(選手情報!$A$6:$M$119,BD148,0),13,FALSE)),"","/"&amp;VLOOKUP($N148,OFFSET(選手情報!$A$6:$M$119,BD148,0),13,FALSE)),"")</f>
        <v/>
      </c>
      <c r="BF148" s="127" t="str">
        <f ca="1">IF(BD148&lt;&gt;"",IF(ISNA(VLOOKUP($N148,OFFSET(選手情報!$A$6:$BD$119,BD148,0),56,FALSE)),"",VLOOKUP($N148,OFFSET(選手情報!$A$6:$BD$119,BD148,0),56,FALSE)),"")</f>
        <v/>
      </c>
      <c r="BG148" s="127" t="str">
        <f ca="1">IF(BF148&lt;&gt;"",IF(ISNA(VLOOKUP($N148,OFFSET(選手情報!$A$6:$M$119,BF148,0),13,FALSE)),"","/"&amp;VLOOKUP($N148,OFFSET(選手情報!$A$6:$M$119,BF148,0),13,FALSE)),"")</f>
        <v/>
      </c>
      <c r="BH148" s="127" t="str">
        <f ca="1">IF(BF148&lt;&gt;"",IF(ISNA(VLOOKUP($N148,OFFSET(選手情報!$A$6:$BD$119,BF148,0),56,FALSE)),"",VLOOKUP($N148,OFFSET(選手情報!$A$6:$BD$119,BF148,0),56,FALSE)),"")</f>
        <v/>
      </c>
      <c r="BI148" s="127" t="str">
        <f ca="1">IF(BH148&lt;&gt;"",IF(ISNA(VLOOKUP($N148,OFFSET(選手情報!$A$6:$M$119,BH148,0),13,FALSE)),"","/"&amp;VLOOKUP($N148,OFFSET(選手情報!$A$6:$M$119,BH148,0),13,FALSE)),"")</f>
        <v/>
      </c>
    </row>
    <row r="149" spans="1:61" s="127" customFormat="1" ht="12.6" customHeight="1">
      <c r="A149" s="128" t="str">
        <f>IF(ISNA(VLOOKUP($C$2&amp;N149,選手データ!A:H,3,FALSE)),"",IF(M149&lt;&gt;M148,VLOOKUP($C$2&amp;N149,選手データ!A:H,3,FALSE),""))</f>
        <v/>
      </c>
      <c r="B149" s="129" t="str">
        <f>IF(A149&lt;&gt;"",VLOOKUP($C$2&amp;N149,選手データ!A:H,4,FALSE),"")</f>
        <v/>
      </c>
      <c r="C149" s="129" t="str">
        <f>IF(A149&lt;&gt;"",VLOOKUP($C$2&amp;N149,選手データ!A:H,5,FALSE),"")</f>
        <v/>
      </c>
      <c r="D149" s="129" t="str">
        <f>IF(A149&lt;&gt;"",VLOOKUP($C$2&amp;N149,選手データ!A:H,6,FALSE),"")</f>
        <v/>
      </c>
      <c r="E149" s="129" t="str">
        <f>IF(A149&lt;&gt;"",VLOOKUP($C$2&amp;N149,選手データ!A:H,7,FALSE),"")</f>
        <v/>
      </c>
      <c r="F149" s="130" t="str">
        <f>IF(A149&lt;&gt;"",VLOOKUP($C$2&amp;N149,選手データ!A:H,8,FALSE),"")</f>
        <v/>
      </c>
      <c r="G149" s="130" t="str">
        <f>IF(F149&lt;&gt;"",IF(DATEDIF(F149,設定!$B$12,"Y")&lt;20,"〇",""),"")</f>
        <v/>
      </c>
      <c r="H149" s="131" t="str">
        <f t="shared" ca="1" si="19"/>
        <v/>
      </c>
      <c r="I149" s="132" t="str">
        <f t="shared" ca="1" si="20"/>
        <v/>
      </c>
      <c r="J149" s="131" t="str">
        <f t="shared" ca="1" si="21"/>
        <v/>
      </c>
      <c r="K149" s="130" t="str">
        <f>IF(A149&lt;&gt;"",IF(COUNTIF(リレーチーム情報!$B$17:$B$22,A149&amp;E149)=1,"〇",""),"")</f>
        <v/>
      </c>
      <c r="L149" s="133" t="str">
        <f>IF(A149&lt;&gt;"",IF(COUNTIF(リレーチーム情報!$B$23:$B$28,A149&amp;E149)=1,"〇",""),"")</f>
        <v/>
      </c>
      <c r="M149" s="127">
        <f>IF(学校情報!$A$4&lt;&gt;"",0,IF(S148=0,MAX($M$109:M148)+1,M148))</f>
        <v>0</v>
      </c>
      <c r="N149" s="127" t="str">
        <f>IF(M149&lt;&gt;0,VLOOKUP(M149,選手情報!BI:BJ,2,FALSE),"")</f>
        <v/>
      </c>
      <c r="O149" s="127" t="str">
        <f ca="1">IF(M149&lt;&gt;0,VLOOKUP(N149,OFFSET(選手情報!$A$6:$W$119,IF(M149&lt;&gt;M148,0,R148),0),13,FALSE),"")</f>
        <v/>
      </c>
      <c r="P149" s="127" t="str">
        <f ca="1">IF(M149&lt;&gt;0,VLOOKUP(N149,OFFSET(選手情報!$A$6:$W$119,IF(M149&lt;&gt;M148,0,R148),0),16,FALSE),"")</f>
        <v/>
      </c>
      <c r="Q149" s="127" t="str">
        <f ca="1">IF(M149&lt;&gt;0,VLOOKUP(N149,OFFSET(選手情報!$A$6:$W$119,IF(M149&lt;&gt;M148,0,R148),0),21,FALSE),"")</f>
        <v/>
      </c>
      <c r="R149" s="127">
        <f ca="1">IF(M149&lt;&gt;0,VLOOKUP(N149,OFFSET(選手情報!$A$6:$BD$119,IF(M149&lt;&gt;M148,0,R148),0),56,FALSE),0)</f>
        <v>0</v>
      </c>
      <c r="S149" s="127">
        <f ca="1">IF(M149&lt;&gt;0,IF(ISNA(R149),0,COUNTIF(OFFSET(選手情報!$A$6:$A$119,R149,0),N149)),0)</f>
        <v>0</v>
      </c>
      <c r="U149" s="127">
        <f t="shared" si="16"/>
        <v>0</v>
      </c>
      <c r="V149" s="127">
        <f t="shared" ca="1" si="17"/>
        <v>1</v>
      </c>
      <c r="W149" s="127">
        <f t="shared" ca="1" si="12"/>
        <v>0</v>
      </c>
      <c r="X149" s="127" t="str">
        <f t="shared" ca="1" si="18"/>
        <v/>
      </c>
      <c r="Y149" s="127" t="str">
        <f>IF($A149&lt;&gt;"",IF(ISNA(VLOOKUP($N149,選手情報!$A$6:$M$119,13,FALSE)),"","/"&amp;VLOOKUP($N149,選手情報!$A$6:$M$119,13,FALSE)),"")</f>
        <v/>
      </c>
      <c r="Z149" s="127" t="str">
        <f ca="1">IF(Y149&lt;&gt;"",IF(ISNA(VLOOKUP($N149,OFFSET(選手情報!$A$6:$BD$119,0,0),56,FALSE)),"",VLOOKUP($N149,OFFSET(選手情報!$A$6:$BD$119,0,0),56,FALSE)),"")</f>
        <v/>
      </c>
      <c r="AA149" s="127" t="str">
        <f ca="1">IF(Z149&lt;&gt;"",IF(ISNA(VLOOKUP($N149,OFFSET(選手情報!$A$6:$M$119,Z149,0),13,FALSE)),"","/"&amp;VLOOKUP($N149,OFFSET(選手情報!$A$6:$M$119,Z149,0),13,FALSE)),"")</f>
        <v/>
      </c>
      <c r="AB149" s="127" t="str">
        <f ca="1">IF(Z149&lt;&gt;"",IF(ISNA(VLOOKUP($N149,OFFSET(選手情報!$A$6:$BD$119,Z149,0),56,FALSE)),"",VLOOKUP($N149,OFFSET(選手情報!$A$6:$BD$119,Z149,0),56,FALSE)),"")</f>
        <v/>
      </c>
      <c r="AC149" s="127" t="str">
        <f ca="1">IF(AB149&lt;&gt;"",IF(ISNA(VLOOKUP($N149,OFFSET(選手情報!$A$6:$M$119,AB149,0),13,FALSE)),"","/"&amp;VLOOKUP($N149,OFFSET(選手情報!$A$6:$M$119,AB149,0),13,FALSE)),"")</f>
        <v/>
      </c>
      <c r="AD149" s="127" t="str">
        <f ca="1">IF(AB149&lt;&gt;"",IF(ISNA(VLOOKUP($N149,OFFSET(選手情報!$A$6:$BD$119,AB149,0),56,FALSE)),"",VLOOKUP($N149,OFFSET(選手情報!$A$6:$BD$119,AB149,0),56,FALSE)),"")</f>
        <v/>
      </c>
      <c r="AE149" s="127" t="str">
        <f ca="1">IF(AD149&lt;&gt;"",IF(ISNA(VLOOKUP($N149,OFFSET(選手情報!$A$6:$M$119,AD149,0),13,FALSE)),"","/"&amp;VLOOKUP($N149,OFFSET(選手情報!$A$6:$M$119,AD149,0),13,FALSE)),"")</f>
        <v/>
      </c>
      <c r="AF149" s="127" t="str">
        <f ca="1">IF(AD149&lt;&gt;"",IF(ISNA(VLOOKUP($N149,OFFSET(選手情報!$A$6:$BD$119,AD149,0),56,FALSE)),"",VLOOKUP($N149,OFFSET(選手情報!$A$6:$BD$119,AD149,0),56,FALSE)),"")</f>
        <v/>
      </c>
      <c r="AG149" s="127" t="str">
        <f ca="1">IF(AF149&lt;&gt;"",IF(ISNA(VLOOKUP($N149,OFFSET(選手情報!$A$6:$M$119,AF149,0),13,FALSE)),"","/"&amp;VLOOKUP($N149,OFFSET(選手情報!$A$6:$M$119,AF149,0),13,FALSE)),"")</f>
        <v/>
      </c>
      <c r="AH149" s="127" t="str">
        <f ca="1">IF(AF149&lt;&gt;"",IF(ISNA(VLOOKUP($N149,OFFSET(選手情報!$A$6:$BD$119,AF149,0),56,FALSE)),"",VLOOKUP($N149,OFFSET(選手情報!$A$6:$BD$119,AF149,0),56,FALSE)),"")</f>
        <v/>
      </c>
      <c r="AI149" s="127" t="str">
        <f ca="1">IF(AH149&lt;&gt;"",IF(ISNA(VLOOKUP($N149,OFFSET(選手情報!$A$6:$M$119,AH149,0),13,FALSE)),"","/"&amp;VLOOKUP($N149,OFFSET(選手情報!$A$6:$M$119,AH149,0),13,FALSE)),"")</f>
        <v/>
      </c>
      <c r="AJ149" s="127" t="str">
        <f ca="1">IF(AH149&lt;&gt;"",IF(ISNA(VLOOKUP($N149,OFFSET(選手情報!$A$6:$BD$119,AH149,0),56,FALSE)),"",VLOOKUP($N149,OFFSET(選手情報!$A$6:$BD$119,AH149,0),56,FALSE)),"")</f>
        <v/>
      </c>
      <c r="AK149" s="127" t="str">
        <f ca="1">IF(AJ149&lt;&gt;"",IF(ISNA(VLOOKUP($N149,OFFSET(選手情報!$A$6:$M$119,AJ149,0),13,FALSE)),"","/"&amp;VLOOKUP($N149,OFFSET(選手情報!$A$6:$M$119,AJ149,0),13,FALSE)),"")</f>
        <v/>
      </c>
      <c r="AL149" s="127" t="str">
        <f ca="1">IF(AJ149&lt;&gt;"",IF(ISNA(VLOOKUP($N149,OFFSET(選手情報!$A$6:$BD$119,AJ149,0),56,FALSE)),"",VLOOKUP($N149,OFFSET(選手情報!$A$6:$BD$119,AJ149,0),56,FALSE)),"")</f>
        <v/>
      </c>
      <c r="AM149" s="127" t="str">
        <f ca="1">IF(AL149&lt;&gt;"",IF(ISNA(VLOOKUP($N149,OFFSET(選手情報!$A$6:$M$119,AL149,0),13,FALSE)),"","/"&amp;VLOOKUP($N149,OFFSET(選手情報!$A$6:$M$119,AL149,0),13,FALSE)),"")</f>
        <v/>
      </c>
      <c r="AN149" s="127" t="str">
        <f ca="1">IF(AL149&lt;&gt;"",IF(ISNA(VLOOKUP($N149,OFFSET(選手情報!$A$6:$BD$119,AL149,0),56,FALSE)),"",VLOOKUP($N149,OFFSET(選手情報!$A$6:$BD$119,AL149,0),56,FALSE)),"")</f>
        <v/>
      </c>
      <c r="AO149" s="127" t="str">
        <f ca="1">IF(AN149&lt;&gt;"",IF(ISNA(VLOOKUP($N149,OFFSET(選手情報!$A$6:$M$119,AN149,0),13,FALSE)),"","/"&amp;VLOOKUP($N149,OFFSET(選手情報!$A$6:$M$119,AN149,0),13,FALSE)),"")</f>
        <v/>
      </c>
      <c r="AP149" s="127" t="str">
        <f ca="1">IF(AN149&lt;&gt;"",IF(ISNA(VLOOKUP($N149,OFFSET(選手情報!$A$6:$BD$119,AN149,0),56,FALSE)),"",VLOOKUP($N149,OFFSET(選手情報!$A$6:$BD$119,AN149,0),56,FALSE)),"")</f>
        <v/>
      </c>
      <c r="AQ149" s="127" t="str">
        <f ca="1">IF(AP149&lt;&gt;"",IF(ISNA(VLOOKUP($N149,OFFSET(選手情報!$A$6:$M$119,AP149,0),13,FALSE)),"","/"&amp;VLOOKUP($N149,OFFSET(選手情報!$A$6:$M$119,AP149,0),13,FALSE)),"")</f>
        <v/>
      </c>
      <c r="AR149" s="127" t="str">
        <f ca="1">IF(AP149&lt;&gt;"",IF(ISNA(VLOOKUP($N149,OFFSET(選手情報!$A$6:$BD$119,AP149,0),56,FALSE)),"",VLOOKUP($N149,OFFSET(選手情報!$A$6:$BD$119,AP149,0),56,FALSE)),"")</f>
        <v/>
      </c>
      <c r="AS149" s="127" t="str">
        <f ca="1">IF(AR149&lt;&gt;"",IF(ISNA(VLOOKUP($N149,OFFSET(選手情報!$A$6:$M$119,AR149,0),13,FALSE)),"","/"&amp;VLOOKUP($N149,OFFSET(選手情報!$A$6:$M$119,AR149,0),13,FALSE)),"")</f>
        <v/>
      </c>
      <c r="AT149" s="127" t="str">
        <f ca="1">IF(AR149&lt;&gt;"",IF(ISNA(VLOOKUP($N149,OFFSET(選手情報!$A$6:$BD$119,AR149,0),56,FALSE)),"",VLOOKUP($N149,OFFSET(選手情報!$A$6:$BD$119,AR149,0),56,FALSE)),"")</f>
        <v/>
      </c>
      <c r="AU149" s="127" t="str">
        <f ca="1">IF(AT149&lt;&gt;"",IF(ISNA(VLOOKUP($N149,OFFSET(選手情報!$A$6:$M$119,AT149,0),13,FALSE)),"","/"&amp;VLOOKUP($N149,OFFSET(選手情報!$A$6:$M$119,AT149,0),13,FALSE)),"")</f>
        <v/>
      </c>
      <c r="AV149" s="127" t="str">
        <f ca="1">IF(AT149&lt;&gt;"",IF(ISNA(VLOOKUP($N149,OFFSET(選手情報!$A$6:$BD$119,AT149,0),56,FALSE)),"",VLOOKUP($N149,OFFSET(選手情報!$A$6:$BD$119,AT149,0),56,FALSE)),"")</f>
        <v/>
      </c>
      <c r="AW149" s="127" t="str">
        <f ca="1">IF(AV149&lt;&gt;"",IF(ISNA(VLOOKUP($N149,OFFSET(選手情報!$A$6:$M$119,AV149,0),13,FALSE)),"","/"&amp;VLOOKUP($N149,OFFSET(選手情報!$A$6:$M$119,AV149,0),13,FALSE)),"")</f>
        <v/>
      </c>
      <c r="AX149" s="127" t="str">
        <f ca="1">IF(AV149&lt;&gt;"",IF(ISNA(VLOOKUP($N149,OFFSET(選手情報!$A$6:$BD$119,AV149,0),56,FALSE)),"",VLOOKUP($N149,OFFSET(選手情報!$A$6:$BD$119,AV149,0),56,FALSE)),"")</f>
        <v/>
      </c>
      <c r="AY149" s="127" t="str">
        <f ca="1">IF(AX149&lt;&gt;"",IF(ISNA(VLOOKUP($N149,OFFSET(選手情報!$A$6:$M$119,AX149,0),13,FALSE)),"","/"&amp;VLOOKUP($N149,OFFSET(選手情報!$A$6:$M$119,AX149,0),13,FALSE)),"")</f>
        <v/>
      </c>
      <c r="AZ149" s="127" t="str">
        <f ca="1">IF(AX149&lt;&gt;"",IF(ISNA(VLOOKUP($N149,OFFSET(選手情報!$A$6:$BD$119,AX149,0),56,FALSE)),"",VLOOKUP($N149,OFFSET(選手情報!$A$6:$BD$119,AX149,0),56,FALSE)),"")</f>
        <v/>
      </c>
      <c r="BA149" s="127" t="str">
        <f ca="1">IF(AZ149&lt;&gt;"",IF(ISNA(VLOOKUP($N149,OFFSET(選手情報!$A$6:$M$119,AZ149,0),13,FALSE)),"","/"&amp;VLOOKUP($N149,OFFSET(選手情報!$A$6:$M$119,AZ149,0),13,FALSE)),"")</f>
        <v/>
      </c>
      <c r="BB149" s="127" t="str">
        <f ca="1">IF(AZ149&lt;&gt;"",IF(ISNA(VLOOKUP($N149,OFFSET(選手情報!$A$6:$BD$119,AZ149,0),56,FALSE)),"",VLOOKUP($N149,OFFSET(選手情報!$A$6:$BD$119,AZ149,0),56,FALSE)),"")</f>
        <v/>
      </c>
      <c r="BC149" s="127" t="str">
        <f ca="1">IF(BB149&lt;&gt;"",IF(ISNA(VLOOKUP($N149,OFFSET(選手情報!$A$6:$M$119,BB149,0),13,FALSE)),"","/"&amp;VLOOKUP($N149,OFFSET(選手情報!$A$6:$M$119,BB149,0),13,FALSE)),"")</f>
        <v/>
      </c>
      <c r="BD149" s="127" t="str">
        <f ca="1">IF(BB149&lt;&gt;"",IF(ISNA(VLOOKUP($N149,OFFSET(選手情報!$A$6:$BD$119,BB149,0),56,FALSE)),"",VLOOKUP($N149,OFFSET(選手情報!$A$6:$BD$119,BB149,0),56,FALSE)),"")</f>
        <v/>
      </c>
      <c r="BE149" s="127" t="str">
        <f ca="1">IF(BD149&lt;&gt;"",IF(ISNA(VLOOKUP($N149,OFFSET(選手情報!$A$6:$M$119,BD149,0),13,FALSE)),"","/"&amp;VLOOKUP($N149,OFFSET(選手情報!$A$6:$M$119,BD149,0),13,FALSE)),"")</f>
        <v/>
      </c>
      <c r="BF149" s="127" t="str">
        <f ca="1">IF(BD149&lt;&gt;"",IF(ISNA(VLOOKUP($N149,OFFSET(選手情報!$A$6:$BD$119,BD149,0),56,FALSE)),"",VLOOKUP($N149,OFFSET(選手情報!$A$6:$BD$119,BD149,0),56,FALSE)),"")</f>
        <v/>
      </c>
      <c r="BG149" s="127" t="str">
        <f ca="1">IF(BF149&lt;&gt;"",IF(ISNA(VLOOKUP($N149,OFFSET(選手情報!$A$6:$M$119,BF149,0),13,FALSE)),"","/"&amp;VLOOKUP($N149,OFFSET(選手情報!$A$6:$M$119,BF149,0),13,FALSE)),"")</f>
        <v/>
      </c>
      <c r="BH149" s="127" t="str">
        <f ca="1">IF(BF149&lt;&gt;"",IF(ISNA(VLOOKUP($N149,OFFSET(選手情報!$A$6:$BD$119,BF149,0),56,FALSE)),"",VLOOKUP($N149,OFFSET(選手情報!$A$6:$BD$119,BF149,0),56,FALSE)),"")</f>
        <v/>
      </c>
      <c r="BI149" s="127" t="str">
        <f ca="1">IF(BH149&lt;&gt;"",IF(ISNA(VLOOKUP($N149,OFFSET(選手情報!$A$6:$M$119,BH149,0),13,FALSE)),"","/"&amp;VLOOKUP($N149,OFFSET(選手情報!$A$6:$M$119,BH149,0),13,FALSE)),"")</f>
        <v/>
      </c>
    </row>
    <row r="150" spans="1:61" s="127" customFormat="1" ht="12.6" customHeight="1">
      <c r="A150" s="128" t="str">
        <f>IF(ISNA(VLOOKUP($C$2&amp;N150,選手データ!A:H,3,FALSE)),"",IF(M150&lt;&gt;M149,VLOOKUP($C$2&amp;N150,選手データ!A:H,3,FALSE),""))</f>
        <v/>
      </c>
      <c r="B150" s="129" t="str">
        <f>IF(A150&lt;&gt;"",VLOOKUP($C$2&amp;N150,選手データ!A:H,4,FALSE),"")</f>
        <v/>
      </c>
      <c r="C150" s="129" t="str">
        <f>IF(A150&lt;&gt;"",VLOOKUP($C$2&amp;N150,選手データ!A:H,5,FALSE),"")</f>
        <v/>
      </c>
      <c r="D150" s="129" t="str">
        <f>IF(A150&lt;&gt;"",VLOOKUP($C$2&amp;N150,選手データ!A:H,6,FALSE),"")</f>
        <v/>
      </c>
      <c r="E150" s="129" t="str">
        <f>IF(A150&lt;&gt;"",VLOOKUP($C$2&amp;N150,選手データ!A:H,7,FALSE),"")</f>
        <v/>
      </c>
      <c r="F150" s="130" t="str">
        <f>IF(A150&lt;&gt;"",VLOOKUP($C$2&amp;N150,選手データ!A:H,8,FALSE),"")</f>
        <v/>
      </c>
      <c r="G150" s="130" t="str">
        <f>IF(F150&lt;&gt;"",IF(DATEDIF(F150,設定!$B$12,"Y")&lt;20,"〇",""),"")</f>
        <v/>
      </c>
      <c r="H150" s="131" t="str">
        <f t="shared" ca="1" si="19"/>
        <v/>
      </c>
      <c r="I150" s="132" t="str">
        <f t="shared" ca="1" si="20"/>
        <v/>
      </c>
      <c r="J150" s="131" t="str">
        <f t="shared" ca="1" si="21"/>
        <v/>
      </c>
      <c r="K150" s="130" t="str">
        <f>IF(A150&lt;&gt;"",IF(COUNTIF(リレーチーム情報!$B$17:$B$22,A150&amp;E150)=1,"〇",""),"")</f>
        <v/>
      </c>
      <c r="L150" s="133" t="str">
        <f>IF(A150&lt;&gt;"",IF(COUNTIF(リレーチーム情報!$B$23:$B$28,A150&amp;E150)=1,"〇",""),"")</f>
        <v/>
      </c>
      <c r="M150" s="127">
        <f>IF(学校情報!$A$4&lt;&gt;"",0,IF(S149=0,MAX($M$109:M149)+1,M149))</f>
        <v>0</v>
      </c>
      <c r="N150" s="127" t="str">
        <f>IF(M150&lt;&gt;0,VLOOKUP(M150,選手情報!BI:BJ,2,FALSE),"")</f>
        <v/>
      </c>
      <c r="O150" s="127" t="str">
        <f ca="1">IF(M150&lt;&gt;0,VLOOKUP(N150,OFFSET(選手情報!$A$6:$W$119,IF(M150&lt;&gt;M149,0,R149),0),13,FALSE),"")</f>
        <v/>
      </c>
      <c r="P150" s="127" t="str">
        <f ca="1">IF(M150&lt;&gt;0,VLOOKUP(N150,OFFSET(選手情報!$A$6:$W$119,IF(M150&lt;&gt;M149,0,R149),0),16,FALSE),"")</f>
        <v/>
      </c>
      <c r="Q150" s="127" t="str">
        <f ca="1">IF(M150&lt;&gt;0,VLOOKUP(N150,OFFSET(選手情報!$A$6:$W$119,IF(M150&lt;&gt;M149,0,R149),0),21,FALSE),"")</f>
        <v/>
      </c>
      <c r="R150" s="127">
        <f ca="1">IF(M150&lt;&gt;0,VLOOKUP(N150,OFFSET(選手情報!$A$6:$BD$119,IF(M150&lt;&gt;M149,0,R149),0),56,FALSE),0)</f>
        <v>0</v>
      </c>
      <c r="S150" s="127">
        <f ca="1">IF(M150&lt;&gt;0,IF(ISNA(R150),0,COUNTIF(OFFSET(選手情報!$A$6:$A$119,R150,0),N150)),0)</f>
        <v>0</v>
      </c>
      <c r="U150" s="127">
        <f t="shared" si="16"/>
        <v>0</v>
      </c>
      <c r="V150" s="127">
        <f t="shared" ca="1" si="17"/>
        <v>1</v>
      </c>
      <c r="W150" s="127">
        <f t="shared" ca="1" si="12"/>
        <v>0</v>
      </c>
      <c r="X150" s="127" t="str">
        <f t="shared" ca="1" si="18"/>
        <v/>
      </c>
      <c r="Y150" s="127" t="str">
        <f>IF($A150&lt;&gt;"",IF(ISNA(VLOOKUP($N150,選手情報!$A$6:$M$119,13,FALSE)),"","/"&amp;VLOOKUP($N150,選手情報!$A$6:$M$119,13,FALSE)),"")</f>
        <v/>
      </c>
      <c r="Z150" s="127" t="str">
        <f ca="1">IF(Y150&lt;&gt;"",IF(ISNA(VLOOKUP($N150,OFFSET(選手情報!$A$6:$BD$119,0,0),56,FALSE)),"",VLOOKUP($N150,OFFSET(選手情報!$A$6:$BD$119,0,0),56,FALSE)),"")</f>
        <v/>
      </c>
      <c r="AA150" s="127" t="str">
        <f ca="1">IF(Z150&lt;&gt;"",IF(ISNA(VLOOKUP($N150,OFFSET(選手情報!$A$6:$M$119,Z150,0),13,FALSE)),"","/"&amp;VLOOKUP($N150,OFFSET(選手情報!$A$6:$M$119,Z150,0),13,FALSE)),"")</f>
        <v/>
      </c>
      <c r="AB150" s="127" t="str">
        <f ca="1">IF(Z150&lt;&gt;"",IF(ISNA(VLOOKUP($N150,OFFSET(選手情報!$A$6:$BD$119,Z150,0),56,FALSE)),"",VLOOKUP($N150,OFFSET(選手情報!$A$6:$BD$119,Z150,0),56,FALSE)),"")</f>
        <v/>
      </c>
      <c r="AC150" s="127" t="str">
        <f ca="1">IF(AB150&lt;&gt;"",IF(ISNA(VLOOKUP($N150,OFFSET(選手情報!$A$6:$M$119,AB150,0),13,FALSE)),"","/"&amp;VLOOKUP($N150,OFFSET(選手情報!$A$6:$M$119,AB150,0),13,FALSE)),"")</f>
        <v/>
      </c>
      <c r="AD150" s="127" t="str">
        <f ca="1">IF(AB150&lt;&gt;"",IF(ISNA(VLOOKUP($N150,OFFSET(選手情報!$A$6:$BD$119,AB150,0),56,FALSE)),"",VLOOKUP($N150,OFFSET(選手情報!$A$6:$BD$119,AB150,0),56,FALSE)),"")</f>
        <v/>
      </c>
      <c r="AE150" s="127" t="str">
        <f ca="1">IF(AD150&lt;&gt;"",IF(ISNA(VLOOKUP($N150,OFFSET(選手情報!$A$6:$M$119,AD150,0),13,FALSE)),"","/"&amp;VLOOKUP($N150,OFFSET(選手情報!$A$6:$M$119,AD150,0),13,FALSE)),"")</f>
        <v/>
      </c>
      <c r="AF150" s="127" t="str">
        <f ca="1">IF(AD150&lt;&gt;"",IF(ISNA(VLOOKUP($N150,OFFSET(選手情報!$A$6:$BD$119,AD150,0),56,FALSE)),"",VLOOKUP($N150,OFFSET(選手情報!$A$6:$BD$119,AD150,0),56,FALSE)),"")</f>
        <v/>
      </c>
      <c r="AG150" s="127" t="str">
        <f ca="1">IF(AF150&lt;&gt;"",IF(ISNA(VLOOKUP($N150,OFFSET(選手情報!$A$6:$M$119,AF150,0),13,FALSE)),"","/"&amp;VLOOKUP($N150,OFFSET(選手情報!$A$6:$M$119,AF150,0),13,FALSE)),"")</f>
        <v/>
      </c>
      <c r="AH150" s="127" t="str">
        <f ca="1">IF(AF150&lt;&gt;"",IF(ISNA(VLOOKUP($N150,OFFSET(選手情報!$A$6:$BD$119,AF150,0),56,FALSE)),"",VLOOKUP($N150,OFFSET(選手情報!$A$6:$BD$119,AF150,0),56,FALSE)),"")</f>
        <v/>
      </c>
      <c r="AI150" s="127" t="str">
        <f ca="1">IF(AH150&lt;&gt;"",IF(ISNA(VLOOKUP($N150,OFFSET(選手情報!$A$6:$M$119,AH150,0),13,FALSE)),"","/"&amp;VLOOKUP($N150,OFFSET(選手情報!$A$6:$M$119,AH150,0),13,FALSE)),"")</f>
        <v/>
      </c>
      <c r="AJ150" s="127" t="str">
        <f ca="1">IF(AH150&lt;&gt;"",IF(ISNA(VLOOKUP($N150,OFFSET(選手情報!$A$6:$BD$119,AH150,0),56,FALSE)),"",VLOOKUP($N150,OFFSET(選手情報!$A$6:$BD$119,AH150,0),56,FALSE)),"")</f>
        <v/>
      </c>
      <c r="AK150" s="127" t="str">
        <f ca="1">IF(AJ150&lt;&gt;"",IF(ISNA(VLOOKUP($N150,OFFSET(選手情報!$A$6:$M$119,AJ150,0),13,FALSE)),"","/"&amp;VLOOKUP($N150,OFFSET(選手情報!$A$6:$M$119,AJ150,0),13,FALSE)),"")</f>
        <v/>
      </c>
      <c r="AL150" s="127" t="str">
        <f ca="1">IF(AJ150&lt;&gt;"",IF(ISNA(VLOOKUP($N150,OFFSET(選手情報!$A$6:$BD$119,AJ150,0),56,FALSE)),"",VLOOKUP($N150,OFFSET(選手情報!$A$6:$BD$119,AJ150,0),56,FALSE)),"")</f>
        <v/>
      </c>
      <c r="AM150" s="127" t="str">
        <f ca="1">IF(AL150&lt;&gt;"",IF(ISNA(VLOOKUP($N150,OFFSET(選手情報!$A$6:$M$119,AL150,0),13,FALSE)),"","/"&amp;VLOOKUP($N150,OFFSET(選手情報!$A$6:$M$119,AL150,0),13,FALSE)),"")</f>
        <v/>
      </c>
      <c r="AN150" s="127" t="str">
        <f ca="1">IF(AL150&lt;&gt;"",IF(ISNA(VLOOKUP($N150,OFFSET(選手情報!$A$6:$BD$119,AL150,0),56,FALSE)),"",VLOOKUP($N150,OFFSET(選手情報!$A$6:$BD$119,AL150,0),56,FALSE)),"")</f>
        <v/>
      </c>
      <c r="AO150" s="127" t="str">
        <f ca="1">IF(AN150&lt;&gt;"",IF(ISNA(VLOOKUP($N150,OFFSET(選手情報!$A$6:$M$119,AN150,0),13,FALSE)),"","/"&amp;VLOOKUP($N150,OFFSET(選手情報!$A$6:$M$119,AN150,0),13,FALSE)),"")</f>
        <v/>
      </c>
      <c r="AP150" s="127" t="str">
        <f ca="1">IF(AN150&lt;&gt;"",IF(ISNA(VLOOKUP($N150,OFFSET(選手情報!$A$6:$BD$119,AN150,0),56,FALSE)),"",VLOOKUP($N150,OFFSET(選手情報!$A$6:$BD$119,AN150,0),56,FALSE)),"")</f>
        <v/>
      </c>
      <c r="AQ150" s="127" t="str">
        <f ca="1">IF(AP150&lt;&gt;"",IF(ISNA(VLOOKUP($N150,OFFSET(選手情報!$A$6:$M$119,AP150,0),13,FALSE)),"","/"&amp;VLOOKUP($N150,OFFSET(選手情報!$A$6:$M$119,AP150,0),13,FALSE)),"")</f>
        <v/>
      </c>
      <c r="AR150" s="127" t="str">
        <f ca="1">IF(AP150&lt;&gt;"",IF(ISNA(VLOOKUP($N150,OFFSET(選手情報!$A$6:$BD$119,AP150,0),56,FALSE)),"",VLOOKUP($N150,OFFSET(選手情報!$A$6:$BD$119,AP150,0),56,FALSE)),"")</f>
        <v/>
      </c>
      <c r="AS150" s="127" t="str">
        <f ca="1">IF(AR150&lt;&gt;"",IF(ISNA(VLOOKUP($N150,OFFSET(選手情報!$A$6:$M$119,AR150,0),13,FALSE)),"","/"&amp;VLOOKUP($N150,OFFSET(選手情報!$A$6:$M$119,AR150,0),13,FALSE)),"")</f>
        <v/>
      </c>
      <c r="AT150" s="127" t="str">
        <f ca="1">IF(AR150&lt;&gt;"",IF(ISNA(VLOOKUP($N150,OFFSET(選手情報!$A$6:$BD$119,AR150,0),56,FALSE)),"",VLOOKUP($N150,OFFSET(選手情報!$A$6:$BD$119,AR150,0),56,FALSE)),"")</f>
        <v/>
      </c>
      <c r="AU150" s="127" t="str">
        <f ca="1">IF(AT150&lt;&gt;"",IF(ISNA(VLOOKUP($N150,OFFSET(選手情報!$A$6:$M$119,AT150,0),13,FALSE)),"","/"&amp;VLOOKUP($N150,OFFSET(選手情報!$A$6:$M$119,AT150,0),13,FALSE)),"")</f>
        <v/>
      </c>
      <c r="AV150" s="127" t="str">
        <f ca="1">IF(AT150&lt;&gt;"",IF(ISNA(VLOOKUP($N150,OFFSET(選手情報!$A$6:$BD$119,AT150,0),56,FALSE)),"",VLOOKUP($N150,OFFSET(選手情報!$A$6:$BD$119,AT150,0),56,FALSE)),"")</f>
        <v/>
      </c>
      <c r="AW150" s="127" t="str">
        <f ca="1">IF(AV150&lt;&gt;"",IF(ISNA(VLOOKUP($N150,OFFSET(選手情報!$A$6:$M$119,AV150,0),13,FALSE)),"","/"&amp;VLOOKUP($N150,OFFSET(選手情報!$A$6:$M$119,AV150,0),13,FALSE)),"")</f>
        <v/>
      </c>
      <c r="AX150" s="127" t="str">
        <f ca="1">IF(AV150&lt;&gt;"",IF(ISNA(VLOOKUP($N150,OFFSET(選手情報!$A$6:$BD$119,AV150,0),56,FALSE)),"",VLOOKUP($N150,OFFSET(選手情報!$A$6:$BD$119,AV150,0),56,FALSE)),"")</f>
        <v/>
      </c>
      <c r="AY150" s="127" t="str">
        <f ca="1">IF(AX150&lt;&gt;"",IF(ISNA(VLOOKUP($N150,OFFSET(選手情報!$A$6:$M$119,AX150,0),13,FALSE)),"","/"&amp;VLOOKUP($N150,OFFSET(選手情報!$A$6:$M$119,AX150,0),13,FALSE)),"")</f>
        <v/>
      </c>
      <c r="AZ150" s="127" t="str">
        <f ca="1">IF(AX150&lt;&gt;"",IF(ISNA(VLOOKUP($N150,OFFSET(選手情報!$A$6:$BD$119,AX150,0),56,FALSE)),"",VLOOKUP($N150,OFFSET(選手情報!$A$6:$BD$119,AX150,0),56,FALSE)),"")</f>
        <v/>
      </c>
      <c r="BA150" s="127" t="str">
        <f ca="1">IF(AZ150&lt;&gt;"",IF(ISNA(VLOOKUP($N150,OFFSET(選手情報!$A$6:$M$119,AZ150,0),13,FALSE)),"","/"&amp;VLOOKUP($N150,OFFSET(選手情報!$A$6:$M$119,AZ150,0),13,FALSE)),"")</f>
        <v/>
      </c>
      <c r="BB150" s="127" t="str">
        <f ca="1">IF(AZ150&lt;&gt;"",IF(ISNA(VLOOKUP($N150,OFFSET(選手情報!$A$6:$BD$119,AZ150,0),56,FALSE)),"",VLOOKUP($N150,OFFSET(選手情報!$A$6:$BD$119,AZ150,0),56,FALSE)),"")</f>
        <v/>
      </c>
      <c r="BC150" s="127" t="str">
        <f ca="1">IF(BB150&lt;&gt;"",IF(ISNA(VLOOKUP($N150,OFFSET(選手情報!$A$6:$M$119,BB150,0),13,FALSE)),"","/"&amp;VLOOKUP($N150,OFFSET(選手情報!$A$6:$M$119,BB150,0),13,FALSE)),"")</f>
        <v/>
      </c>
      <c r="BD150" s="127" t="str">
        <f ca="1">IF(BB150&lt;&gt;"",IF(ISNA(VLOOKUP($N150,OFFSET(選手情報!$A$6:$BD$119,BB150,0),56,FALSE)),"",VLOOKUP($N150,OFFSET(選手情報!$A$6:$BD$119,BB150,0),56,FALSE)),"")</f>
        <v/>
      </c>
      <c r="BE150" s="127" t="str">
        <f ca="1">IF(BD150&lt;&gt;"",IF(ISNA(VLOOKUP($N150,OFFSET(選手情報!$A$6:$M$119,BD150,0),13,FALSE)),"","/"&amp;VLOOKUP($N150,OFFSET(選手情報!$A$6:$M$119,BD150,0),13,FALSE)),"")</f>
        <v/>
      </c>
      <c r="BF150" s="127" t="str">
        <f ca="1">IF(BD150&lt;&gt;"",IF(ISNA(VLOOKUP($N150,OFFSET(選手情報!$A$6:$BD$119,BD150,0),56,FALSE)),"",VLOOKUP($N150,OFFSET(選手情報!$A$6:$BD$119,BD150,0),56,FALSE)),"")</f>
        <v/>
      </c>
      <c r="BG150" s="127" t="str">
        <f ca="1">IF(BF150&lt;&gt;"",IF(ISNA(VLOOKUP($N150,OFFSET(選手情報!$A$6:$M$119,BF150,0),13,FALSE)),"","/"&amp;VLOOKUP($N150,OFFSET(選手情報!$A$6:$M$119,BF150,0),13,FALSE)),"")</f>
        <v/>
      </c>
      <c r="BH150" s="127" t="str">
        <f ca="1">IF(BF150&lt;&gt;"",IF(ISNA(VLOOKUP($N150,OFFSET(選手情報!$A$6:$BD$119,BF150,0),56,FALSE)),"",VLOOKUP($N150,OFFSET(選手情報!$A$6:$BD$119,BF150,0),56,FALSE)),"")</f>
        <v/>
      </c>
      <c r="BI150" s="127" t="str">
        <f ca="1">IF(BH150&lt;&gt;"",IF(ISNA(VLOOKUP($N150,OFFSET(選手情報!$A$6:$M$119,BH150,0),13,FALSE)),"","/"&amp;VLOOKUP($N150,OFFSET(選手情報!$A$6:$M$119,BH150,0),13,FALSE)),"")</f>
        <v/>
      </c>
    </row>
    <row r="151" spans="1:61" s="127" customFormat="1" ht="12.6" customHeight="1">
      <c r="A151" s="128" t="str">
        <f>IF(ISNA(VLOOKUP($C$2&amp;N151,選手データ!A:H,3,FALSE)),"",IF(M151&lt;&gt;M150,VLOOKUP($C$2&amp;N151,選手データ!A:H,3,FALSE),""))</f>
        <v/>
      </c>
      <c r="B151" s="129" t="str">
        <f>IF(A151&lt;&gt;"",VLOOKUP($C$2&amp;N151,選手データ!A:H,4,FALSE),"")</f>
        <v/>
      </c>
      <c r="C151" s="129" t="str">
        <f>IF(A151&lt;&gt;"",VLOOKUP($C$2&amp;N151,選手データ!A:H,5,FALSE),"")</f>
        <v/>
      </c>
      <c r="D151" s="129" t="str">
        <f>IF(A151&lt;&gt;"",VLOOKUP($C$2&amp;N151,選手データ!A:H,6,FALSE),"")</f>
        <v/>
      </c>
      <c r="E151" s="129" t="str">
        <f>IF(A151&lt;&gt;"",VLOOKUP($C$2&amp;N151,選手データ!A:H,7,FALSE),"")</f>
        <v/>
      </c>
      <c r="F151" s="130" t="str">
        <f>IF(A151&lt;&gt;"",VLOOKUP($C$2&amp;N151,選手データ!A:H,8,FALSE),"")</f>
        <v/>
      </c>
      <c r="G151" s="130" t="str">
        <f>IF(F151&lt;&gt;"",IF(DATEDIF(F151,設定!$B$12,"Y")&lt;20,"〇",""),"")</f>
        <v/>
      </c>
      <c r="H151" s="131" t="str">
        <f t="shared" ca="1" si="19"/>
        <v/>
      </c>
      <c r="I151" s="132" t="str">
        <f t="shared" ca="1" si="20"/>
        <v/>
      </c>
      <c r="J151" s="131" t="str">
        <f t="shared" ca="1" si="21"/>
        <v/>
      </c>
      <c r="K151" s="130" t="str">
        <f>IF(A151&lt;&gt;"",IF(COUNTIF(リレーチーム情報!$B$17:$B$22,A151&amp;E151)=1,"〇",""),"")</f>
        <v/>
      </c>
      <c r="L151" s="133" t="str">
        <f>IF(A151&lt;&gt;"",IF(COUNTIF(リレーチーム情報!$B$23:$B$28,A151&amp;E151)=1,"〇",""),"")</f>
        <v/>
      </c>
      <c r="M151" s="127">
        <f>IF(学校情報!$A$4&lt;&gt;"",0,IF(S150=0,MAX($M$109:M150)+1,M150))</f>
        <v>0</v>
      </c>
      <c r="N151" s="127" t="str">
        <f>IF(M151&lt;&gt;0,VLOOKUP(M151,選手情報!BI:BJ,2,FALSE),"")</f>
        <v/>
      </c>
      <c r="O151" s="127" t="str">
        <f ca="1">IF(M151&lt;&gt;0,VLOOKUP(N151,OFFSET(選手情報!$A$6:$W$119,IF(M151&lt;&gt;M150,0,R150),0),13,FALSE),"")</f>
        <v/>
      </c>
      <c r="P151" s="127" t="str">
        <f ca="1">IF(M151&lt;&gt;0,VLOOKUP(N151,OFFSET(選手情報!$A$6:$W$119,IF(M151&lt;&gt;M150,0,R150),0),16,FALSE),"")</f>
        <v/>
      </c>
      <c r="Q151" s="127" t="str">
        <f ca="1">IF(M151&lt;&gt;0,VLOOKUP(N151,OFFSET(選手情報!$A$6:$W$119,IF(M151&lt;&gt;M150,0,R150),0),21,FALSE),"")</f>
        <v/>
      </c>
      <c r="R151" s="127">
        <f ca="1">IF(M151&lt;&gt;0,VLOOKUP(N151,OFFSET(選手情報!$A$6:$BD$119,IF(M151&lt;&gt;M150,0,R150),0),56,FALSE),0)</f>
        <v>0</v>
      </c>
      <c r="S151" s="127">
        <f ca="1">IF(M151&lt;&gt;0,IF(ISNA(R151),0,COUNTIF(OFFSET(選手情報!$A$6:$A$119,R151,0),N151)),0)</f>
        <v>0</v>
      </c>
      <c r="U151" s="127">
        <f t="shared" si="16"/>
        <v>0</v>
      </c>
      <c r="V151" s="127">
        <f t="shared" ca="1" si="17"/>
        <v>1</v>
      </c>
      <c r="W151" s="127">
        <f t="shared" ca="1" si="12"/>
        <v>0</v>
      </c>
      <c r="X151" s="127" t="str">
        <f t="shared" ca="1" si="18"/>
        <v/>
      </c>
      <c r="Y151" s="127" t="str">
        <f>IF($A151&lt;&gt;"",IF(ISNA(VLOOKUP($N151,選手情報!$A$6:$M$119,13,FALSE)),"","/"&amp;VLOOKUP($N151,選手情報!$A$6:$M$119,13,FALSE)),"")</f>
        <v/>
      </c>
      <c r="Z151" s="127" t="str">
        <f ca="1">IF(Y151&lt;&gt;"",IF(ISNA(VLOOKUP($N151,OFFSET(選手情報!$A$6:$BD$119,0,0),56,FALSE)),"",VLOOKUP($N151,OFFSET(選手情報!$A$6:$BD$119,0,0),56,FALSE)),"")</f>
        <v/>
      </c>
      <c r="AA151" s="127" t="str">
        <f ca="1">IF(Z151&lt;&gt;"",IF(ISNA(VLOOKUP($N151,OFFSET(選手情報!$A$6:$M$119,Z151,0),13,FALSE)),"","/"&amp;VLOOKUP($N151,OFFSET(選手情報!$A$6:$M$119,Z151,0),13,FALSE)),"")</f>
        <v/>
      </c>
      <c r="AB151" s="127" t="str">
        <f ca="1">IF(Z151&lt;&gt;"",IF(ISNA(VLOOKUP($N151,OFFSET(選手情報!$A$6:$BD$119,Z151,0),56,FALSE)),"",VLOOKUP($N151,OFFSET(選手情報!$A$6:$BD$119,Z151,0),56,FALSE)),"")</f>
        <v/>
      </c>
      <c r="AC151" s="127" t="str">
        <f ca="1">IF(AB151&lt;&gt;"",IF(ISNA(VLOOKUP($N151,OFFSET(選手情報!$A$6:$M$119,AB151,0),13,FALSE)),"","/"&amp;VLOOKUP($N151,OFFSET(選手情報!$A$6:$M$119,AB151,0),13,FALSE)),"")</f>
        <v/>
      </c>
      <c r="AD151" s="127" t="str">
        <f ca="1">IF(AB151&lt;&gt;"",IF(ISNA(VLOOKUP($N151,OFFSET(選手情報!$A$6:$BD$119,AB151,0),56,FALSE)),"",VLOOKUP($N151,OFFSET(選手情報!$A$6:$BD$119,AB151,0),56,FALSE)),"")</f>
        <v/>
      </c>
      <c r="AE151" s="127" t="str">
        <f ca="1">IF(AD151&lt;&gt;"",IF(ISNA(VLOOKUP($N151,OFFSET(選手情報!$A$6:$M$119,AD151,0),13,FALSE)),"","/"&amp;VLOOKUP($N151,OFFSET(選手情報!$A$6:$M$119,AD151,0),13,FALSE)),"")</f>
        <v/>
      </c>
      <c r="AF151" s="127" t="str">
        <f ca="1">IF(AD151&lt;&gt;"",IF(ISNA(VLOOKUP($N151,OFFSET(選手情報!$A$6:$BD$119,AD151,0),56,FALSE)),"",VLOOKUP($N151,OFFSET(選手情報!$A$6:$BD$119,AD151,0),56,FALSE)),"")</f>
        <v/>
      </c>
      <c r="AG151" s="127" t="str">
        <f ca="1">IF(AF151&lt;&gt;"",IF(ISNA(VLOOKUP($N151,OFFSET(選手情報!$A$6:$M$119,AF151,0),13,FALSE)),"","/"&amp;VLOOKUP($N151,OFFSET(選手情報!$A$6:$M$119,AF151,0),13,FALSE)),"")</f>
        <v/>
      </c>
      <c r="AH151" s="127" t="str">
        <f ca="1">IF(AF151&lt;&gt;"",IF(ISNA(VLOOKUP($N151,OFFSET(選手情報!$A$6:$BD$119,AF151,0),56,FALSE)),"",VLOOKUP($N151,OFFSET(選手情報!$A$6:$BD$119,AF151,0),56,FALSE)),"")</f>
        <v/>
      </c>
      <c r="AI151" s="127" t="str">
        <f ca="1">IF(AH151&lt;&gt;"",IF(ISNA(VLOOKUP($N151,OFFSET(選手情報!$A$6:$M$119,AH151,0),13,FALSE)),"","/"&amp;VLOOKUP($N151,OFFSET(選手情報!$A$6:$M$119,AH151,0),13,FALSE)),"")</f>
        <v/>
      </c>
      <c r="AJ151" s="127" t="str">
        <f ca="1">IF(AH151&lt;&gt;"",IF(ISNA(VLOOKUP($N151,OFFSET(選手情報!$A$6:$BD$119,AH151,0),56,FALSE)),"",VLOOKUP($N151,OFFSET(選手情報!$A$6:$BD$119,AH151,0),56,FALSE)),"")</f>
        <v/>
      </c>
      <c r="AK151" s="127" t="str">
        <f ca="1">IF(AJ151&lt;&gt;"",IF(ISNA(VLOOKUP($N151,OFFSET(選手情報!$A$6:$M$119,AJ151,0),13,FALSE)),"","/"&amp;VLOOKUP($N151,OFFSET(選手情報!$A$6:$M$119,AJ151,0),13,FALSE)),"")</f>
        <v/>
      </c>
      <c r="AL151" s="127" t="str">
        <f ca="1">IF(AJ151&lt;&gt;"",IF(ISNA(VLOOKUP($N151,OFFSET(選手情報!$A$6:$BD$119,AJ151,0),56,FALSE)),"",VLOOKUP($N151,OFFSET(選手情報!$A$6:$BD$119,AJ151,0),56,FALSE)),"")</f>
        <v/>
      </c>
      <c r="AM151" s="127" t="str">
        <f ca="1">IF(AL151&lt;&gt;"",IF(ISNA(VLOOKUP($N151,OFFSET(選手情報!$A$6:$M$119,AL151,0),13,FALSE)),"","/"&amp;VLOOKUP($N151,OFFSET(選手情報!$A$6:$M$119,AL151,0),13,FALSE)),"")</f>
        <v/>
      </c>
      <c r="AN151" s="127" t="str">
        <f ca="1">IF(AL151&lt;&gt;"",IF(ISNA(VLOOKUP($N151,OFFSET(選手情報!$A$6:$BD$119,AL151,0),56,FALSE)),"",VLOOKUP($N151,OFFSET(選手情報!$A$6:$BD$119,AL151,0),56,FALSE)),"")</f>
        <v/>
      </c>
      <c r="AO151" s="127" t="str">
        <f ca="1">IF(AN151&lt;&gt;"",IF(ISNA(VLOOKUP($N151,OFFSET(選手情報!$A$6:$M$119,AN151,0),13,FALSE)),"","/"&amp;VLOOKUP($N151,OFFSET(選手情報!$A$6:$M$119,AN151,0),13,FALSE)),"")</f>
        <v/>
      </c>
      <c r="AP151" s="127" t="str">
        <f ca="1">IF(AN151&lt;&gt;"",IF(ISNA(VLOOKUP($N151,OFFSET(選手情報!$A$6:$BD$119,AN151,0),56,FALSE)),"",VLOOKUP($N151,OFFSET(選手情報!$A$6:$BD$119,AN151,0),56,FALSE)),"")</f>
        <v/>
      </c>
      <c r="AQ151" s="127" t="str">
        <f ca="1">IF(AP151&lt;&gt;"",IF(ISNA(VLOOKUP($N151,OFFSET(選手情報!$A$6:$M$119,AP151,0),13,FALSE)),"","/"&amp;VLOOKUP($N151,OFFSET(選手情報!$A$6:$M$119,AP151,0),13,FALSE)),"")</f>
        <v/>
      </c>
      <c r="AR151" s="127" t="str">
        <f ca="1">IF(AP151&lt;&gt;"",IF(ISNA(VLOOKUP($N151,OFFSET(選手情報!$A$6:$BD$119,AP151,0),56,FALSE)),"",VLOOKUP($N151,OFFSET(選手情報!$A$6:$BD$119,AP151,0),56,FALSE)),"")</f>
        <v/>
      </c>
      <c r="AS151" s="127" t="str">
        <f ca="1">IF(AR151&lt;&gt;"",IF(ISNA(VLOOKUP($N151,OFFSET(選手情報!$A$6:$M$119,AR151,0),13,FALSE)),"","/"&amp;VLOOKUP($N151,OFFSET(選手情報!$A$6:$M$119,AR151,0),13,FALSE)),"")</f>
        <v/>
      </c>
      <c r="AT151" s="127" t="str">
        <f ca="1">IF(AR151&lt;&gt;"",IF(ISNA(VLOOKUP($N151,OFFSET(選手情報!$A$6:$BD$119,AR151,0),56,FALSE)),"",VLOOKUP($N151,OFFSET(選手情報!$A$6:$BD$119,AR151,0),56,FALSE)),"")</f>
        <v/>
      </c>
      <c r="AU151" s="127" t="str">
        <f ca="1">IF(AT151&lt;&gt;"",IF(ISNA(VLOOKUP($N151,OFFSET(選手情報!$A$6:$M$119,AT151,0),13,FALSE)),"","/"&amp;VLOOKUP($N151,OFFSET(選手情報!$A$6:$M$119,AT151,0),13,FALSE)),"")</f>
        <v/>
      </c>
      <c r="AV151" s="127" t="str">
        <f ca="1">IF(AT151&lt;&gt;"",IF(ISNA(VLOOKUP($N151,OFFSET(選手情報!$A$6:$BD$119,AT151,0),56,FALSE)),"",VLOOKUP($N151,OFFSET(選手情報!$A$6:$BD$119,AT151,0),56,FALSE)),"")</f>
        <v/>
      </c>
      <c r="AW151" s="127" t="str">
        <f ca="1">IF(AV151&lt;&gt;"",IF(ISNA(VLOOKUP($N151,OFFSET(選手情報!$A$6:$M$119,AV151,0),13,FALSE)),"","/"&amp;VLOOKUP($N151,OFFSET(選手情報!$A$6:$M$119,AV151,0),13,FALSE)),"")</f>
        <v/>
      </c>
      <c r="AX151" s="127" t="str">
        <f ca="1">IF(AV151&lt;&gt;"",IF(ISNA(VLOOKUP($N151,OFFSET(選手情報!$A$6:$BD$119,AV151,0),56,FALSE)),"",VLOOKUP($N151,OFFSET(選手情報!$A$6:$BD$119,AV151,0),56,FALSE)),"")</f>
        <v/>
      </c>
      <c r="AY151" s="127" t="str">
        <f ca="1">IF(AX151&lt;&gt;"",IF(ISNA(VLOOKUP($N151,OFFSET(選手情報!$A$6:$M$119,AX151,0),13,FALSE)),"","/"&amp;VLOOKUP($N151,OFFSET(選手情報!$A$6:$M$119,AX151,0),13,FALSE)),"")</f>
        <v/>
      </c>
      <c r="AZ151" s="127" t="str">
        <f ca="1">IF(AX151&lt;&gt;"",IF(ISNA(VLOOKUP($N151,OFFSET(選手情報!$A$6:$BD$119,AX151,0),56,FALSE)),"",VLOOKUP($N151,OFFSET(選手情報!$A$6:$BD$119,AX151,0),56,FALSE)),"")</f>
        <v/>
      </c>
      <c r="BA151" s="127" t="str">
        <f ca="1">IF(AZ151&lt;&gt;"",IF(ISNA(VLOOKUP($N151,OFFSET(選手情報!$A$6:$M$119,AZ151,0),13,FALSE)),"","/"&amp;VLOOKUP($N151,OFFSET(選手情報!$A$6:$M$119,AZ151,0),13,FALSE)),"")</f>
        <v/>
      </c>
      <c r="BB151" s="127" t="str">
        <f ca="1">IF(AZ151&lt;&gt;"",IF(ISNA(VLOOKUP($N151,OFFSET(選手情報!$A$6:$BD$119,AZ151,0),56,FALSE)),"",VLOOKUP($N151,OFFSET(選手情報!$A$6:$BD$119,AZ151,0),56,FALSE)),"")</f>
        <v/>
      </c>
      <c r="BC151" s="127" t="str">
        <f ca="1">IF(BB151&lt;&gt;"",IF(ISNA(VLOOKUP($N151,OFFSET(選手情報!$A$6:$M$119,BB151,0),13,FALSE)),"","/"&amp;VLOOKUP($N151,OFFSET(選手情報!$A$6:$M$119,BB151,0),13,FALSE)),"")</f>
        <v/>
      </c>
      <c r="BD151" s="127" t="str">
        <f ca="1">IF(BB151&lt;&gt;"",IF(ISNA(VLOOKUP($N151,OFFSET(選手情報!$A$6:$BD$119,BB151,0),56,FALSE)),"",VLOOKUP($N151,OFFSET(選手情報!$A$6:$BD$119,BB151,0),56,FALSE)),"")</f>
        <v/>
      </c>
      <c r="BE151" s="127" t="str">
        <f ca="1">IF(BD151&lt;&gt;"",IF(ISNA(VLOOKUP($N151,OFFSET(選手情報!$A$6:$M$119,BD151,0),13,FALSE)),"","/"&amp;VLOOKUP($N151,OFFSET(選手情報!$A$6:$M$119,BD151,0),13,FALSE)),"")</f>
        <v/>
      </c>
      <c r="BF151" s="127" t="str">
        <f ca="1">IF(BD151&lt;&gt;"",IF(ISNA(VLOOKUP($N151,OFFSET(選手情報!$A$6:$BD$119,BD151,0),56,FALSE)),"",VLOOKUP($N151,OFFSET(選手情報!$A$6:$BD$119,BD151,0),56,FALSE)),"")</f>
        <v/>
      </c>
      <c r="BG151" s="127" t="str">
        <f ca="1">IF(BF151&lt;&gt;"",IF(ISNA(VLOOKUP($N151,OFFSET(選手情報!$A$6:$M$119,BF151,0),13,FALSE)),"","/"&amp;VLOOKUP($N151,OFFSET(選手情報!$A$6:$M$119,BF151,0),13,FALSE)),"")</f>
        <v/>
      </c>
      <c r="BH151" s="127" t="str">
        <f ca="1">IF(BF151&lt;&gt;"",IF(ISNA(VLOOKUP($N151,OFFSET(選手情報!$A$6:$BD$119,BF151,0),56,FALSE)),"",VLOOKUP($N151,OFFSET(選手情報!$A$6:$BD$119,BF151,0),56,FALSE)),"")</f>
        <v/>
      </c>
      <c r="BI151" s="127" t="str">
        <f ca="1">IF(BH151&lt;&gt;"",IF(ISNA(VLOOKUP($N151,OFFSET(選手情報!$A$6:$M$119,BH151,0),13,FALSE)),"","/"&amp;VLOOKUP($N151,OFFSET(選手情報!$A$6:$M$119,BH151,0),13,FALSE)),"")</f>
        <v/>
      </c>
    </row>
    <row r="152" spans="1:61" s="127" customFormat="1" ht="12.6" customHeight="1">
      <c r="A152" s="128" t="str">
        <f>IF(ISNA(VLOOKUP($C$2&amp;N152,選手データ!A:H,3,FALSE)),"",IF(M152&lt;&gt;M151,VLOOKUP($C$2&amp;N152,選手データ!A:H,3,FALSE),""))</f>
        <v/>
      </c>
      <c r="B152" s="129" t="str">
        <f>IF(A152&lt;&gt;"",VLOOKUP($C$2&amp;N152,選手データ!A:H,4,FALSE),"")</f>
        <v/>
      </c>
      <c r="C152" s="129" t="str">
        <f>IF(A152&lt;&gt;"",VLOOKUP($C$2&amp;N152,選手データ!A:H,5,FALSE),"")</f>
        <v/>
      </c>
      <c r="D152" s="129" t="str">
        <f>IF(A152&lt;&gt;"",VLOOKUP($C$2&amp;N152,選手データ!A:H,6,FALSE),"")</f>
        <v/>
      </c>
      <c r="E152" s="129" t="str">
        <f>IF(A152&lt;&gt;"",VLOOKUP($C$2&amp;N152,選手データ!A:H,7,FALSE),"")</f>
        <v/>
      </c>
      <c r="F152" s="130" t="str">
        <f>IF(A152&lt;&gt;"",VLOOKUP($C$2&amp;N152,選手データ!A:H,8,FALSE),"")</f>
        <v/>
      </c>
      <c r="G152" s="130" t="str">
        <f>IF(F152&lt;&gt;"",IF(DATEDIF(F152,設定!$B$12,"Y")&lt;20,"〇",""),"")</f>
        <v/>
      </c>
      <c r="H152" s="131" t="str">
        <f t="shared" ca="1" si="19"/>
        <v/>
      </c>
      <c r="I152" s="132" t="str">
        <f t="shared" ca="1" si="20"/>
        <v/>
      </c>
      <c r="J152" s="131" t="str">
        <f t="shared" ca="1" si="21"/>
        <v/>
      </c>
      <c r="K152" s="130" t="str">
        <f>IF(A152&lt;&gt;"",IF(COUNTIF(リレーチーム情報!$B$17:$B$22,A152&amp;E152)=1,"〇",""),"")</f>
        <v/>
      </c>
      <c r="L152" s="133" t="str">
        <f>IF(A152&lt;&gt;"",IF(COUNTIF(リレーチーム情報!$B$23:$B$28,A152&amp;E152)=1,"〇",""),"")</f>
        <v/>
      </c>
      <c r="M152" s="127">
        <f>IF(学校情報!$A$4&lt;&gt;"",0,IF(S151=0,MAX($M$109:M151)+1,M151))</f>
        <v>0</v>
      </c>
      <c r="N152" s="127" t="str">
        <f>IF(M152&lt;&gt;0,VLOOKUP(M152,選手情報!BI:BJ,2,FALSE),"")</f>
        <v/>
      </c>
      <c r="O152" s="127" t="str">
        <f ca="1">IF(M152&lt;&gt;0,VLOOKUP(N152,OFFSET(選手情報!$A$6:$W$119,IF(M152&lt;&gt;M151,0,R151),0),13,FALSE),"")</f>
        <v/>
      </c>
      <c r="P152" s="127" t="str">
        <f ca="1">IF(M152&lt;&gt;0,VLOOKUP(N152,OFFSET(選手情報!$A$6:$W$119,IF(M152&lt;&gt;M151,0,R151),0),16,FALSE),"")</f>
        <v/>
      </c>
      <c r="Q152" s="127" t="str">
        <f ca="1">IF(M152&lt;&gt;0,VLOOKUP(N152,OFFSET(選手情報!$A$6:$W$119,IF(M152&lt;&gt;M151,0,R151),0),21,FALSE),"")</f>
        <v/>
      </c>
      <c r="R152" s="127">
        <f ca="1">IF(M152&lt;&gt;0,VLOOKUP(N152,OFFSET(選手情報!$A$6:$BD$119,IF(M152&lt;&gt;M151,0,R151),0),56,FALSE),0)</f>
        <v>0</v>
      </c>
      <c r="S152" s="127">
        <f ca="1">IF(M152&lt;&gt;0,IF(ISNA(R152),0,COUNTIF(OFFSET(選手情報!$A$6:$A$119,R152,0),N152)),0)</f>
        <v>0</v>
      </c>
      <c r="U152" s="127">
        <f t="shared" si="16"/>
        <v>0</v>
      </c>
      <c r="V152" s="127">
        <f t="shared" ca="1" si="17"/>
        <v>1</v>
      </c>
      <c r="W152" s="127">
        <f t="shared" ca="1" si="12"/>
        <v>0</v>
      </c>
      <c r="X152" s="127" t="str">
        <f t="shared" ca="1" si="18"/>
        <v/>
      </c>
      <c r="Y152" s="127" t="str">
        <f>IF($A152&lt;&gt;"",IF(ISNA(VLOOKUP($N152,選手情報!$A$6:$M$119,13,FALSE)),"","/"&amp;VLOOKUP($N152,選手情報!$A$6:$M$119,13,FALSE)),"")</f>
        <v/>
      </c>
      <c r="Z152" s="127" t="str">
        <f ca="1">IF(Y152&lt;&gt;"",IF(ISNA(VLOOKUP($N152,OFFSET(選手情報!$A$6:$BD$119,0,0),56,FALSE)),"",VLOOKUP($N152,OFFSET(選手情報!$A$6:$BD$119,0,0),56,FALSE)),"")</f>
        <v/>
      </c>
      <c r="AA152" s="127" t="str">
        <f ca="1">IF(Z152&lt;&gt;"",IF(ISNA(VLOOKUP($N152,OFFSET(選手情報!$A$6:$M$119,Z152,0),13,FALSE)),"","/"&amp;VLOOKUP($N152,OFFSET(選手情報!$A$6:$M$119,Z152,0),13,FALSE)),"")</f>
        <v/>
      </c>
      <c r="AB152" s="127" t="str">
        <f ca="1">IF(Z152&lt;&gt;"",IF(ISNA(VLOOKUP($N152,OFFSET(選手情報!$A$6:$BD$119,Z152,0),56,FALSE)),"",VLOOKUP($N152,OFFSET(選手情報!$A$6:$BD$119,Z152,0),56,FALSE)),"")</f>
        <v/>
      </c>
      <c r="AC152" s="127" t="str">
        <f ca="1">IF(AB152&lt;&gt;"",IF(ISNA(VLOOKUP($N152,OFFSET(選手情報!$A$6:$M$119,AB152,0),13,FALSE)),"","/"&amp;VLOOKUP($N152,OFFSET(選手情報!$A$6:$M$119,AB152,0),13,FALSE)),"")</f>
        <v/>
      </c>
      <c r="AD152" s="127" t="str">
        <f ca="1">IF(AB152&lt;&gt;"",IF(ISNA(VLOOKUP($N152,OFFSET(選手情報!$A$6:$BD$119,AB152,0),56,FALSE)),"",VLOOKUP($N152,OFFSET(選手情報!$A$6:$BD$119,AB152,0),56,FALSE)),"")</f>
        <v/>
      </c>
      <c r="AE152" s="127" t="str">
        <f ca="1">IF(AD152&lt;&gt;"",IF(ISNA(VLOOKUP($N152,OFFSET(選手情報!$A$6:$M$119,AD152,0),13,FALSE)),"","/"&amp;VLOOKUP($N152,OFFSET(選手情報!$A$6:$M$119,AD152,0),13,FALSE)),"")</f>
        <v/>
      </c>
      <c r="AF152" s="127" t="str">
        <f ca="1">IF(AD152&lt;&gt;"",IF(ISNA(VLOOKUP($N152,OFFSET(選手情報!$A$6:$BD$119,AD152,0),56,FALSE)),"",VLOOKUP($N152,OFFSET(選手情報!$A$6:$BD$119,AD152,0),56,FALSE)),"")</f>
        <v/>
      </c>
      <c r="AG152" s="127" t="str">
        <f ca="1">IF(AF152&lt;&gt;"",IF(ISNA(VLOOKUP($N152,OFFSET(選手情報!$A$6:$M$119,AF152,0),13,FALSE)),"","/"&amp;VLOOKUP($N152,OFFSET(選手情報!$A$6:$M$119,AF152,0),13,FALSE)),"")</f>
        <v/>
      </c>
      <c r="AH152" s="127" t="str">
        <f ca="1">IF(AF152&lt;&gt;"",IF(ISNA(VLOOKUP($N152,OFFSET(選手情報!$A$6:$BD$119,AF152,0),56,FALSE)),"",VLOOKUP($N152,OFFSET(選手情報!$A$6:$BD$119,AF152,0),56,FALSE)),"")</f>
        <v/>
      </c>
      <c r="AI152" s="127" t="str">
        <f ca="1">IF(AH152&lt;&gt;"",IF(ISNA(VLOOKUP($N152,OFFSET(選手情報!$A$6:$M$119,AH152,0),13,FALSE)),"","/"&amp;VLOOKUP($N152,OFFSET(選手情報!$A$6:$M$119,AH152,0),13,FALSE)),"")</f>
        <v/>
      </c>
      <c r="AJ152" s="127" t="str">
        <f ca="1">IF(AH152&lt;&gt;"",IF(ISNA(VLOOKUP($N152,OFFSET(選手情報!$A$6:$BD$119,AH152,0),56,FALSE)),"",VLOOKUP($N152,OFFSET(選手情報!$A$6:$BD$119,AH152,0),56,FALSE)),"")</f>
        <v/>
      </c>
      <c r="AK152" s="127" t="str">
        <f ca="1">IF(AJ152&lt;&gt;"",IF(ISNA(VLOOKUP($N152,OFFSET(選手情報!$A$6:$M$119,AJ152,0),13,FALSE)),"","/"&amp;VLOOKUP($N152,OFFSET(選手情報!$A$6:$M$119,AJ152,0),13,FALSE)),"")</f>
        <v/>
      </c>
      <c r="AL152" s="127" t="str">
        <f ca="1">IF(AJ152&lt;&gt;"",IF(ISNA(VLOOKUP($N152,OFFSET(選手情報!$A$6:$BD$119,AJ152,0),56,FALSE)),"",VLOOKUP($N152,OFFSET(選手情報!$A$6:$BD$119,AJ152,0),56,FALSE)),"")</f>
        <v/>
      </c>
      <c r="AM152" s="127" t="str">
        <f ca="1">IF(AL152&lt;&gt;"",IF(ISNA(VLOOKUP($N152,OFFSET(選手情報!$A$6:$M$119,AL152,0),13,FALSE)),"","/"&amp;VLOOKUP($N152,OFFSET(選手情報!$A$6:$M$119,AL152,0),13,FALSE)),"")</f>
        <v/>
      </c>
      <c r="AN152" s="127" t="str">
        <f ca="1">IF(AL152&lt;&gt;"",IF(ISNA(VLOOKUP($N152,OFFSET(選手情報!$A$6:$BD$119,AL152,0),56,FALSE)),"",VLOOKUP($N152,OFFSET(選手情報!$A$6:$BD$119,AL152,0),56,FALSE)),"")</f>
        <v/>
      </c>
      <c r="AO152" s="127" t="str">
        <f ca="1">IF(AN152&lt;&gt;"",IF(ISNA(VLOOKUP($N152,OFFSET(選手情報!$A$6:$M$119,AN152,0),13,FALSE)),"","/"&amp;VLOOKUP($N152,OFFSET(選手情報!$A$6:$M$119,AN152,0),13,FALSE)),"")</f>
        <v/>
      </c>
      <c r="AP152" s="127" t="str">
        <f ca="1">IF(AN152&lt;&gt;"",IF(ISNA(VLOOKUP($N152,OFFSET(選手情報!$A$6:$BD$119,AN152,0),56,FALSE)),"",VLOOKUP($N152,OFFSET(選手情報!$A$6:$BD$119,AN152,0),56,FALSE)),"")</f>
        <v/>
      </c>
      <c r="AQ152" s="127" t="str">
        <f ca="1">IF(AP152&lt;&gt;"",IF(ISNA(VLOOKUP($N152,OFFSET(選手情報!$A$6:$M$119,AP152,0),13,FALSE)),"","/"&amp;VLOOKUP($N152,OFFSET(選手情報!$A$6:$M$119,AP152,0),13,FALSE)),"")</f>
        <v/>
      </c>
      <c r="AR152" s="127" t="str">
        <f ca="1">IF(AP152&lt;&gt;"",IF(ISNA(VLOOKUP($N152,OFFSET(選手情報!$A$6:$BD$119,AP152,0),56,FALSE)),"",VLOOKUP($N152,OFFSET(選手情報!$A$6:$BD$119,AP152,0),56,FALSE)),"")</f>
        <v/>
      </c>
      <c r="AS152" s="127" t="str">
        <f ca="1">IF(AR152&lt;&gt;"",IF(ISNA(VLOOKUP($N152,OFFSET(選手情報!$A$6:$M$119,AR152,0),13,FALSE)),"","/"&amp;VLOOKUP($N152,OFFSET(選手情報!$A$6:$M$119,AR152,0),13,FALSE)),"")</f>
        <v/>
      </c>
      <c r="AT152" s="127" t="str">
        <f ca="1">IF(AR152&lt;&gt;"",IF(ISNA(VLOOKUP($N152,OFFSET(選手情報!$A$6:$BD$119,AR152,0),56,FALSE)),"",VLOOKUP($N152,OFFSET(選手情報!$A$6:$BD$119,AR152,0),56,FALSE)),"")</f>
        <v/>
      </c>
      <c r="AU152" s="127" t="str">
        <f ca="1">IF(AT152&lt;&gt;"",IF(ISNA(VLOOKUP($N152,OFFSET(選手情報!$A$6:$M$119,AT152,0),13,FALSE)),"","/"&amp;VLOOKUP($N152,OFFSET(選手情報!$A$6:$M$119,AT152,0),13,FALSE)),"")</f>
        <v/>
      </c>
      <c r="AV152" s="127" t="str">
        <f ca="1">IF(AT152&lt;&gt;"",IF(ISNA(VLOOKUP($N152,OFFSET(選手情報!$A$6:$BD$119,AT152,0),56,FALSE)),"",VLOOKUP($N152,OFFSET(選手情報!$A$6:$BD$119,AT152,0),56,FALSE)),"")</f>
        <v/>
      </c>
      <c r="AW152" s="127" t="str">
        <f ca="1">IF(AV152&lt;&gt;"",IF(ISNA(VLOOKUP($N152,OFFSET(選手情報!$A$6:$M$119,AV152,0),13,FALSE)),"","/"&amp;VLOOKUP($N152,OFFSET(選手情報!$A$6:$M$119,AV152,0),13,FALSE)),"")</f>
        <v/>
      </c>
      <c r="AX152" s="127" t="str">
        <f ca="1">IF(AV152&lt;&gt;"",IF(ISNA(VLOOKUP($N152,OFFSET(選手情報!$A$6:$BD$119,AV152,0),56,FALSE)),"",VLOOKUP($N152,OFFSET(選手情報!$A$6:$BD$119,AV152,0),56,FALSE)),"")</f>
        <v/>
      </c>
      <c r="AY152" s="127" t="str">
        <f ca="1">IF(AX152&lt;&gt;"",IF(ISNA(VLOOKUP($N152,OFFSET(選手情報!$A$6:$M$119,AX152,0),13,FALSE)),"","/"&amp;VLOOKUP($N152,OFFSET(選手情報!$A$6:$M$119,AX152,0),13,FALSE)),"")</f>
        <v/>
      </c>
      <c r="AZ152" s="127" t="str">
        <f ca="1">IF(AX152&lt;&gt;"",IF(ISNA(VLOOKUP($N152,OFFSET(選手情報!$A$6:$BD$119,AX152,0),56,FALSE)),"",VLOOKUP($N152,OFFSET(選手情報!$A$6:$BD$119,AX152,0),56,FALSE)),"")</f>
        <v/>
      </c>
      <c r="BA152" s="127" t="str">
        <f ca="1">IF(AZ152&lt;&gt;"",IF(ISNA(VLOOKUP($N152,OFFSET(選手情報!$A$6:$M$119,AZ152,0),13,FALSE)),"","/"&amp;VLOOKUP($N152,OFFSET(選手情報!$A$6:$M$119,AZ152,0),13,FALSE)),"")</f>
        <v/>
      </c>
      <c r="BB152" s="127" t="str">
        <f ca="1">IF(AZ152&lt;&gt;"",IF(ISNA(VLOOKUP($N152,OFFSET(選手情報!$A$6:$BD$119,AZ152,0),56,FALSE)),"",VLOOKUP($N152,OFFSET(選手情報!$A$6:$BD$119,AZ152,0),56,FALSE)),"")</f>
        <v/>
      </c>
      <c r="BC152" s="127" t="str">
        <f ca="1">IF(BB152&lt;&gt;"",IF(ISNA(VLOOKUP($N152,OFFSET(選手情報!$A$6:$M$119,BB152,0),13,FALSE)),"","/"&amp;VLOOKUP($N152,OFFSET(選手情報!$A$6:$M$119,BB152,0),13,FALSE)),"")</f>
        <v/>
      </c>
      <c r="BD152" s="127" t="str">
        <f ca="1">IF(BB152&lt;&gt;"",IF(ISNA(VLOOKUP($N152,OFFSET(選手情報!$A$6:$BD$119,BB152,0),56,FALSE)),"",VLOOKUP($N152,OFFSET(選手情報!$A$6:$BD$119,BB152,0),56,FALSE)),"")</f>
        <v/>
      </c>
      <c r="BE152" s="127" t="str">
        <f ca="1">IF(BD152&lt;&gt;"",IF(ISNA(VLOOKUP($N152,OFFSET(選手情報!$A$6:$M$119,BD152,0),13,FALSE)),"","/"&amp;VLOOKUP($N152,OFFSET(選手情報!$A$6:$M$119,BD152,0),13,FALSE)),"")</f>
        <v/>
      </c>
      <c r="BF152" s="127" t="str">
        <f ca="1">IF(BD152&lt;&gt;"",IF(ISNA(VLOOKUP($N152,OFFSET(選手情報!$A$6:$BD$119,BD152,0),56,FALSE)),"",VLOOKUP($N152,OFFSET(選手情報!$A$6:$BD$119,BD152,0),56,FALSE)),"")</f>
        <v/>
      </c>
      <c r="BG152" s="127" t="str">
        <f ca="1">IF(BF152&lt;&gt;"",IF(ISNA(VLOOKUP($N152,OFFSET(選手情報!$A$6:$M$119,BF152,0),13,FALSE)),"","/"&amp;VLOOKUP($N152,OFFSET(選手情報!$A$6:$M$119,BF152,0),13,FALSE)),"")</f>
        <v/>
      </c>
      <c r="BH152" s="127" t="str">
        <f ca="1">IF(BF152&lt;&gt;"",IF(ISNA(VLOOKUP($N152,OFFSET(選手情報!$A$6:$BD$119,BF152,0),56,FALSE)),"",VLOOKUP($N152,OFFSET(選手情報!$A$6:$BD$119,BF152,0),56,FALSE)),"")</f>
        <v/>
      </c>
      <c r="BI152" s="127" t="str">
        <f ca="1">IF(BH152&lt;&gt;"",IF(ISNA(VLOOKUP($N152,OFFSET(選手情報!$A$6:$M$119,BH152,0),13,FALSE)),"","/"&amp;VLOOKUP($N152,OFFSET(選手情報!$A$6:$M$119,BH152,0),13,FALSE)),"")</f>
        <v/>
      </c>
    </row>
    <row r="153" spans="1:61" s="127" customFormat="1" ht="12.6" customHeight="1">
      <c r="A153" s="128" t="str">
        <f>IF(ISNA(VLOOKUP($C$2&amp;N153,選手データ!A:H,3,FALSE)),"",IF(M153&lt;&gt;M152,VLOOKUP($C$2&amp;N153,選手データ!A:H,3,FALSE),""))</f>
        <v/>
      </c>
      <c r="B153" s="129" t="str">
        <f>IF(A153&lt;&gt;"",VLOOKUP($C$2&amp;N153,選手データ!A:H,4,FALSE),"")</f>
        <v/>
      </c>
      <c r="C153" s="129" t="str">
        <f>IF(A153&lt;&gt;"",VLOOKUP($C$2&amp;N153,選手データ!A:H,5,FALSE),"")</f>
        <v/>
      </c>
      <c r="D153" s="129" t="str">
        <f>IF(A153&lt;&gt;"",VLOOKUP($C$2&amp;N153,選手データ!A:H,6,FALSE),"")</f>
        <v/>
      </c>
      <c r="E153" s="129" t="str">
        <f>IF(A153&lt;&gt;"",VLOOKUP($C$2&amp;N153,選手データ!A:H,7,FALSE),"")</f>
        <v/>
      </c>
      <c r="F153" s="130" t="str">
        <f>IF(A153&lt;&gt;"",VLOOKUP($C$2&amp;N153,選手データ!A:H,8,FALSE),"")</f>
        <v/>
      </c>
      <c r="G153" s="130" t="str">
        <f>IF(F153&lt;&gt;"",IF(DATEDIF(F153,設定!$B$12,"Y")&lt;20,"〇",""),"")</f>
        <v/>
      </c>
      <c r="H153" s="131" t="str">
        <f t="shared" ca="1" si="19"/>
        <v/>
      </c>
      <c r="I153" s="132" t="str">
        <f t="shared" ca="1" si="20"/>
        <v/>
      </c>
      <c r="J153" s="131" t="str">
        <f t="shared" ca="1" si="21"/>
        <v/>
      </c>
      <c r="K153" s="130" t="str">
        <f>IF(A153&lt;&gt;"",IF(COUNTIF(リレーチーム情報!$B$17:$B$22,A153&amp;E153)=1,"〇",""),"")</f>
        <v/>
      </c>
      <c r="L153" s="133" t="str">
        <f>IF(A153&lt;&gt;"",IF(COUNTIF(リレーチーム情報!$B$23:$B$28,A153&amp;E153)=1,"〇",""),"")</f>
        <v/>
      </c>
      <c r="M153" s="127">
        <f>IF(学校情報!$A$4&lt;&gt;"",0,IF(S152=0,MAX($M$109:M152)+1,M152))</f>
        <v>0</v>
      </c>
      <c r="N153" s="127" t="str">
        <f>IF(M153&lt;&gt;0,VLOOKUP(M153,選手情報!BI:BJ,2,FALSE),"")</f>
        <v/>
      </c>
      <c r="O153" s="127" t="str">
        <f ca="1">IF(M153&lt;&gt;0,VLOOKUP(N153,OFFSET(選手情報!$A$6:$W$119,IF(M153&lt;&gt;M152,0,R152),0),13,FALSE),"")</f>
        <v/>
      </c>
      <c r="P153" s="127" t="str">
        <f ca="1">IF(M153&lt;&gt;0,VLOOKUP(N153,OFFSET(選手情報!$A$6:$W$119,IF(M153&lt;&gt;M152,0,R152),0),16,FALSE),"")</f>
        <v/>
      </c>
      <c r="Q153" s="127" t="str">
        <f ca="1">IF(M153&lt;&gt;0,VLOOKUP(N153,OFFSET(選手情報!$A$6:$W$119,IF(M153&lt;&gt;M152,0,R152),0),21,FALSE),"")</f>
        <v/>
      </c>
      <c r="R153" s="127">
        <f ca="1">IF(M153&lt;&gt;0,VLOOKUP(N153,OFFSET(選手情報!$A$6:$BD$119,IF(M153&lt;&gt;M152,0,R152),0),56,FALSE),0)</f>
        <v>0</v>
      </c>
      <c r="S153" s="127">
        <f ca="1">IF(M153&lt;&gt;0,IF(ISNA(R153),0,COUNTIF(OFFSET(選手情報!$A$6:$A$119,R153,0),N153)),0)</f>
        <v>0</v>
      </c>
      <c r="U153" s="127">
        <f t="shared" si="16"/>
        <v>0</v>
      </c>
      <c r="V153" s="127">
        <f t="shared" ca="1" si="17"/>
        <v>1</v>
      </c>
      <c r="W153" s="127">
        <f t="shared" ca="1" si="12"/>
        <v>0</v>
      </c>
      <c r="X153" s="127" t="str">
        <f t="shared" ca="1" si="18"/>
        <v/>
      </c>
      <c r="Y153" s="127" t="str">
        <f>IF($A153&lt;&gt;"",IF(ISNA(VLOOKUP($N153,選手情報!$A$6:$M$119,13,FALSE)),"","/"&amp;VLOOKUP($N153,選手情報!$A$6:$M$119,13,FALSE)),"")</f>
        <v/>
      </c>
      <c r="Z153" s="127" t="str">
        <f ca="1">IF(Y153&lt;&gt;"",IF(ISNA(VLOOKUP($N153,OFFSET(選手情報!$A$6:$BD$119,0,0),56,FALSE)),"",VLOOKUP($N153,OFFSET(選手情報!$A$6:$BD$119,0,0),56,FALSE)),"")</f>
        <v/>
      </c>
      <c r="AA153" s="127" t="str">
        <f ca="1">IF(Z153&lt;&gt;"",IF(ISNA(VLOOKUP($N153,OFFSET(選手情報!$A$6:$M$119,Z153,0),13,FALSE)),"","/"&amp;VLOOKUP($N153,OFFSET(選手情報!$A$6:$M$119,Z153,0),13,FALSE)),"")</f>
        <v/>
      </c>
      <c r="AB153" s="127" t="str">
        <f ca="1">IF(Z153&lt;&gt;"",IF(ISNA(VLOOKUP($N153,OFFSET(選手情報!$A$6:$BD$119,Z153,0),56,FALSE)),"",VLOOKUP($N153,OFFSET(選手情報!$A$6:$BD$119,Z153,0),56,FALSE)),"")</f>
        <v/>
      </c>
      <c r="AC153" s="127" t="str">
        <f ca="1">IF(AB153&lt;&gt;"",IF(ISNA(VLOOKUP($N153,OFFSET(選手情報!$A$6:$M$119,AB153,0),13,FALSE)),"","/"&amp;VLOOKUP($N153,OFFSET(選手情報!$A$6:$M$119,AB153,0),13,FALSE)),"")</f>
        <v/>
      </c>
      <c r="AD153" s="127" t="str">
        <f ca="1">IF(AB153&lt;&gt;"",IF(ISNA(VLOOKUP($N153,OFFSET(選手情報!$A$6:$BD$119,AB153,0),56,FALSE)),"",VLOOKUP($N153,OFFSET(選手情報!$A$6:$BD$119,AB153,0),56,FALSE)),"")</f>
        <v/>
      </c>
      <c r="AE153" s="127" t="str">
        <f ca="1">IF(AD153&lt;&gt;"",IF(ISNA(VLOOKUP($N153,OFFSET(選手情報!$A$6:$M$119,AD153,0),13,FALSE)),"","/"&amp;VLOOKUP($N153,OFFSET(選手情報!$A$6:$M$119,AD153,0),13,FALSE)),"")</f>
        <v/>
      </c>
      <c r="AF153" s="127" t="str">
        <f ca="1">IF(AD153&lt;&gt;"",IF(ISNA(VLOOKUP($N153,OFFSET(選手情報!$A$6:$BD$119,AD153,0),56,FALSE)),"",VLOOKUP($N153,OFFSET(選手情報!$A$6:$BD$119,AD153,0),56,FALSE)),"")</f>
        <v/>
      </c>
      <c r="AG153" s="127" t="str">
        <f ca="1">IF(AF153&lt;&gt;"",IF(ISNA(VLOOKUP($N153,OFFSET(選手情報!$A$6:$M$119,AF153,0),13,FALSE)),"","/"&amp;VLOOKUP($N153,OFFSET(選手情報!$A$6:$M$119,AF153,0),13,FALSE)),"")</f>
        <v/>
      </c>
      <c r="AH153" s="127" t="str">
        <f ca="1">IF(AF153&lt;&gt;"",IF(ISNA(VLOOKUP($N153,OFFSET(選手情報!$A$6:$BD$119,AF153,0),56,FALSE)),"",VLOOKUP($N153,OFFSET(選手情報!$A$6:$BD$119,AF153,0),56,FALSE)),"")</f>
        <v/>
      </c>
      <c r="AI153" s="127" t="str">
        <f ca="1">IF(AH153&lt;&gt;"",IF(ISNA(VLOOKUP($N153,OFFSET(選手情報!$A$6:$M$119,AH153,0),13,FALSE)),"","/"&amp;VLOOKUP($N153,OFFSET(選手情報!$A$6:$M$119,AH153,0),13,FALSE)),"")</f>
        <v/>
      </c>
      <c r="AJ153" s="127" t="str">
        <f ca="1">IF(AH153&lt;&gt;"",IF(ISNA(VLOOKUP($N153,OFFSET(選手情報!$A$6:$BD$119,AH153,0),56,FALSE)),"",VLOOKUP($N153,OFFSET(選手情報!$A$6:$BD$119,AH153,0),56,FALSE)),"")</f>
        <v/>
      </c>
      <c r="AK153" s="127" t="str">
        <f ca="1">IF(AJ153&lt;&gt;"",IF(ISNA(VLOOKUP($N153,OFFSET(選手情報!$A$6:$M$119,AJ153,0),13,FALSE)),"","/"&amp;VLOOKUP($N153,OFFSET(選手情報!$A$6:$M$119,AJ153,0),13,FALSE)),"")</f>
        <v/>
      </c>
      <c r="AL153" s="127" t="str">
        <f ca="1">IF(AJ153&lt;&gt;"",IF(ISNA(VLOOKUP($N153,OFFSET(選手情報!$A$6:$BD$119,AJ153,0),56,FALSE)),"",VLOOKUP($N153,OFFSET(選手情報!$A$6:$BD$119,AJ153,0),56,FALSE)),"")</f>
        <v/>
      </c>
      <c r="AM153" s="127" t="str">
        <f ca="1">IF(AL153&lt;&gt;"",IF(ISNA(VLOOKUP($N153,OFFSET(選手情報!$A$6:$M$119,AL153,0),13,FALSE)),"","/"&amp;VLOOKUP($N153,OFFSET(選手情報!$A$6:$M$119,AL153,0),13,FALSE)),"")</f>
        <v/>
      </c>
      <c r="AN153" s="127" t="str">
        <f ca="1">IF(AL153&lt;&gt;"",IF(ISNA(VLOOKUP($N153,OFFSET(選手情報!$A$6:$BD$119,AL153,0),56,FALSE)),"",VLOOKUP($N153,OFFSET(選手情報!$A$6:$BD$119,AL153,0),56,FALSE)),"")</f>
        <v/>
      </c>
      <c r="AO153" s="127" t="str">
        <f ca="1">IF(AN153&lt;&gt;"",IF(ISNA(VLOOKUP($N153,OFFSET(選手情報!$A$6:$M$119,AN153,0),13,FALSE)),"","/"&amp;VLOOKUP($N153,OFFSET(選手情報!$A$6:$M$119,AN153,0),13,FALSE)),"")</f>
        <v/>
      </c>
      <c r="AP153" s="127" t="str">
        <f ca="1">IF(AN153&lt;&gt;"",IF(ISNA(VLOOKUP($N153,OFFSET(選手情報!$A$6:$BD$119,AN153,0),56,FALSE)),"",VLOOKUP($N153,OFFSET(選手情報!$A$6:$BD$119,AN153,0),56,FALSE)),"")</f>
        <v/>
      </c>
      <c r="AQ153" s="127" t="str">
        <f ca="1">IF(AP153&lt;&gt;"",IF(ISNA(VLOOKUP($N153,OFFSET(選手情報!$A$6:$M$119,AP153,0),13,FALSE)),"","/"&amp;VLOOKUP($N153,OFFSET(選手情報!$A$6:$M$119,AP153,0),13,FALSE)),"")</f>
        <v/>
      </c>
      <c r="AR153" s="127" t="str">
        <f ca="1">IF(AP153&lt;&gt;"",IF(ISNA(VLOOKUP($N153,OFFSET(選手情報!$A$6:$BD$119,AP153,0),56,FALSE)),"",VLOOKUP($N153,OFFSET(選手情報!$A$6:$BD$119,AP153,0),56,FALSE)),"")</f>
        <v/>
      </c>
      <c r="AS153" s="127" t="str">
        <f ca="1">IF(AR153&lt;&gt;"",IF(ISNA(VLOOKUP($N153,OFFSET(選手情報!$A$6:$M$119,AR153,0),13,FALSE)),"","/"&amp;VLOOKUP($N153,OFFSET(選手情報!$A$6:$M$119,AR153,0),13,FALSE)),"")</f>
        <v/>
      </c>
      <c r="AT153" s="127" t="str">
        <f ca="1">IF(AR153&lt;&gt;"",IF(ISNA(VLOOKUP($N153,OFFSET(選手情報!$A$6:$BD$119,AR153,0),56,FALSE)),"",VLOOKUP($N153,OFFSET(選手情報!$A$6:$BD$119,AR153,0),56,FALSE)),"")</f>
        <v/>
      </c>
      <c r="AU153" s="127" t="str">
        <f ca="1">IF(AT153&lt;&gt;"",IF(ISNA(VLOOKUP($N153,OFFSET(選手情報!$A$6:$M$119,AT153,0),13,FALSE)),"","/"&amp;VLOOKUP($N153,OFFSET(選手情報!$A$6:$M$119,AT153,0),13,FALSE)),"")</f>
        <v/>
      </c>
      <c r="AV153" s="127" t="str">
        <f ca="1">IF(AT153&lt;&gt;"",IF(ISNA(VLOOKUP($N153,OFFSET(選手情報!$A$6:$BD$119,AT153,0),56,FALSE)),"",VLOOKUP($N153,OFFSET(選手情報!$A$6:$BD$119,AT153,0),56,FALSE)),"")</f>
        <v/>
      </c>
      <c r="AW153" s="127" t="str">
        <f ca="1">IF(AV153&lt;&gt;"",IF(ISNA(VLOOKUP($N153,OFFSET(選手情報!$A$6:$M$119,AV153,0),13,FALSE)),"","/"&amp;VLOOKUP($N153,OFFSET(選手情報!$A$6:$M$119,AV153,0),13,FALSE)),"")</f>
        <v/>
      </c>
      <c r="AX153" s="127" t="str">
        <f ca="1">IF(AV153&lt;&gt;"",IF(ISNA(VLOOKUP($N153,OFFSET(選手情報!$A$6:$BD$119,AV153,0),56,FALSE)),"",VLOOKUP($N153,OFFSET(選手情報!$A$6:$BD$119,AV153,0),56,FALSE)),"")</f>
        <v/>
      </c>
      <c r="AY153" s="127" t="str">
        <f ca="1">IF(AX153&lt;&gt;"",IF(ISNA(VLOOKUP($N153,OFFSET(選手情報!$A$6:$M$119,AX153,0),13,FALSE)),"","/"&amp;VLOOKUP($N153,OFFSET(選手情報!$A$6:$M$119,AX153,0),13,FALSE)),"")</f>
        <v/>
      </c>
      <c r="AZ153" s="127" t="str">
        <f ca="1">IF(AX153&lt;&gt;"",IF(ISNA(VLOOKUP($N153,OFFSET(選手情報!$A$6:$BD$119,AX153,0),56,FALSE)),"",VLOOKUP($N153,OFFSET(選手情報!$A$6:$BD$119,AX153,0),56,FALSE)),"")</f>
        <v/>
      </c>
      <c r="BA153" s="127" t="str">
        <f ca="1">IF(AZ153&lt;&gt;"",IF(ISNA(VLOOKUP($N153,OFFSET(選手情報!$A$6:$M$119,AZ153,0),13,FALSE)),"","/"&amp;VLOOKUP($N153,OFFSET(選手情報!$A$6:$M$119,AZ153,0),13,FALSE)),"")</f>
        <v/>
      </c>
      <c r="BB153" s="127" t="str">
        <f ca="1">IF(AZ153&lt;&gt;"",IF(ISNA(VLOOKUP($N153,OFFSET(選手情報!$A$6:$BD$119,AZ153,0),56,FALSE)),"",VLOOKUP($N153,OFFSET(選手情報!$A$6:$BD$119,AZ153,0),56,FALSE)),"")</f>
        <v/>
      </c>
      <c r="BC153" s="127" t="str">
        <f ca="1">IF(BB153&lt;&gt;"",IF(ISNA(VLOOKUP($N153,OFFSET(選手情報!$A$6:$M$119,BB153,0),13,FALSE)),"","/"&amp;VLOOKUP($N153,OFFSET(選手情報!$A$6:$M$119,BB153,0),13,FALSE)),"")</f>
        <v/>
      </c>
      <c r="BD153" s="127" t="str">
        <f ca="1">IF(BB153&lt;&gt;"",IF(ISNA(VLOOKUP($N153,OFFSET(選手情報!$A$6:$BD$119,BB153,0),56,FALSE)),"",VLOOKUP($N153,OFFSET(選手情報!$A$6:$BD$119,BB153,0),56,FALSE)),"")</f>
        <v/>
      </c>
      <c r="BE153" s="127" t="str">
        <f ca="1">IF(BD153&lt;&gt;"",IF(ISNA(VLOOKUP($N153,OFFSET(選手情報!$A$6:$M$119,BD153,0),13,FALSE)),"","/"&amp;VLOOKUP($N153,OFFSET(選手情報!$A$6:$M$119,BD153,0),13,FALSE)),"")</f>
        <v/>
      </c>
      <c r="BF153" s="127" t="str">
        <f ca="1">IF(BD153&lt;&gt;"",IF(ISNA(VLOOKUP($N153,OFFSET(選手情報!$A$6:$BD$119,BD153,0),56,FALSE)),"",VLOOKUP($N153,OFFSET(選手情報!$A$6:$BD$119,BD153,0),56,FALSE)),"")</f>
        <v/>
      </c>
      <c r="BG153" s="127" t="str">
        <f ca="1">IF(BF153&lt;&gt;"",IF(ISNA(VLOOKUP($N153,OFFSET(選手情報!$A$6:$M$119,BF153,0),13,FALSE)),"","/"&amp;VLOOKUP($N153,OFFSET(選手情報!$A$6:$M$119,BF153,0),13,FALSE)),"")</f>
        <v/>
      </c>
      <c r="BH153" s="127" t="str">
        <f ca="1">IF(BF153&lt;&gt;"",IF(ISNA(VLOOKUP($N153,OFFSET(選手情報!$A$6:$BD$119,BF153,0),56,FALSE)),"",VLOOKUP($N153,OFFSET(選手情報!$A$6:$BD$119,BF153,0),56,FALSE)),"")</f>
        <v/>
      </c>
      <c r="BI153" s="127" t="str">
        <f ca="1">IF(BH153&lt;&gt;"",IF(ISNA(VLOOKUP($N153,OFFSET(選手情報!$A$6:$M$119,BH153,0),13,FALSE)),"","/"&amp;VLOOKUP($N153,OFFSET(選手情報!$A$6:$M$119,BH153,0),13,FALSE)),"")</f>
        <v/>
      </c>
    </row>
    <row r="154" spans="1:61" s="127" customFormat="1" ht="12.6" customHeight="1">
      <c r="A154" s="128" t="str">
        <f>IF(ISNA(VLOOKUP($C$2&amp;N154,選手データ!A:H,3,FALSE)),"",IF(M154&lt;&gt;M147,VLOOKUP($C$2&amp;N154,選手データ!A:H,3,FALSE),""))</f>
        <v/>
      </c>
      <c r="B154" s="129" t="str">
        <f>IF(A154&lt;&gt;"",VLOOKUP($C$2&amp;N154,選手データ!A:H,4,FALSE),"")</f>
        <v/>
      </c>
      <c r="C154" s="129" t="str">
        <f>IF(A154&lt;&gt;"",VLOOKUP($C$2&amp;N154,選手データ!A:H,5,FALSE),"")</f>
        <v/>
      </c>
      <c r="D154" s="129" t="str">
        <f>IF(A154&lt;&gt;"",VLOOKUP($C$2&amp;N154,選手データ!A:H,6,FALSE),"")</f>
        <v/>
      </c>
      <c r="E154" s="129" t="str">
        <f>IF(A154&lt;&gt;"",VLOOKUP($C$2&amp;N154,選手データ!A:H,7,FALSE),"")</f>
        <v/>
      </c>
      <c r="F154" s="130" t="str">
        <f>IF(A154&lt;&gt;"",VLOOKUP($C$2&amp;N154,選手データ!A:H,8,FALSE),"")</f>
        <v/>
      </c>
      <c r="G154" s="130" t="str">
        <f>IF(F154&lt;&gt;"",IF(DATEDIF(F154,設定!$B$12,"Y")&lt;20,"〇",""),"")</f>
        <v/>
      </c>
      <c r="H154" s="131" t="str">
        <f t="shared" ref="H154:H159" ca="1" si="22">IF(ISNA(O154),"",O154)</f>
        <v/>
      </c>
      <c r="I154" s="132" t="str">
        <f t="shared" ref="I154:I159" ca="1" si="23">IF(ISNA(Q154),"",Q154)</f>
        <v/>
      </c>
      <c r="J154" s="131" t="str">
        <f t="shared" ref="J154:J159" ca="1" si="24">IF(ISNA(P154),"",P154)</f>
        <v/>
      </c>
      <c r="K154" s="130" t="str">
        <f>IF(A154&lt;&gt;"",IF(COUNTIF(リレーチーム情報!$B$17:$B$22,A154&amp;E154)=1,"〇",""),"")</f>
        <v/>
      </c>
      <c r="L154" s="133" t="str">
        <f>IF(A154&lt;&gt;"",IF(COUNTIF(リレーチーム情報!$B$23:$B$28,A154&amp;E154)=1,"〇",""),"")</f>
        <v/>
      </c>
      <c r="M154" s="127">
        <f>IF(学校情報!$A$4&lt;&gt;"",0,IF(S153=0,MAX($M$109:M153)+1,M153))</f>
        <v>0</v>
      </c>
      <c r="N154" s="127" t="str">
        <f>IF(M154&lt;&gt;0,VLOOKUP(M154,選手情報!BI:BJ,2,FALSE),"")</f>
        <v/>
      </c>
      <c r="O154" s="127" t="str">
        <f ca="1">IF(M154&lt;&gt;0,VLOOKUP(N154,OFFSET(選手情報!$A$6:$W$119,IF(M154&lt;&gt;M153,0,R153),0),13,FALSE),"")</f>
        <v/>
      </c>
      <c r="P154" s="127" t="str">
        <f ca="1">IF(M154&lt;&gt;0,VLOOKUP(N154,OFFSET(選手情報!$A$6:$W$119,IF(M154&lt;&gt;M153,0,R153),0),16,FALSE),"")</f>
        <v/>
      </c>
      <c r="Q154" s="127" t="str">
        <f ca="1">IF(M154&lt;&gt;0,VLOOKUP(N154,OFFSET(選手情報!$A$6:$W$119,IF(M154&lt;&gt;M153,0,R153),0),21,FALSE),"")</f>
        <v/>
      </c>
      <c r="R154" s="127">
        <f ca="1">IF(M154&lt;&gt;0,VLOOKUP(N154,OFFSET(選手情報!$A$6:$BD$119,IF(M154&lt;&gt;M153,0,R153),0),56,FALSE),0)</f>
        <v>0</v>
      </c>
      <c r="S154" s="127">
        <f ca="1">IF(M154&lt;&gt;0,IF(ISNA(R154),0,COUNTIF(OFFSET(選手情報!$A$6:$A$119,R154,0),N154)),0)</f>
        <v>0</v>
      </c>
      <c r="U154" s="127">
        <f t="shared" ref="U154:U159" si="25">IF(ISNA(N154),0,IF(N154&lt;&gt;N147,1,0))</f>
        <v>0</v>
      </c>
      <c r="V154" s="127">
        <f t="shared" ca="1" si="17"/>
        <v>1</v>
      </c>
      <c r="W154" s="127">
        <f t="shared" ca="1" si="12"/>
        <v>0</v>
      </c>
      <c r="X154" s="127" t="str">
        <f t="shared" ca="1" si="18"/>
        <v/>
      </c>
      <c r="Y154" s="127" t="str">
        <f>IF($A154&lt;&gt;"",IF(ISNA(VLOOKUP($N154,選手情報!$A$6:$M$119,13,FALSE)),"","/"&amp;VLOOKUP($N154,選手情報!$A$6:$M$119,13,FALSE)),"")</f>
        <v/>
      </c>
      <c r="Z154" s="127" t="str">
        <f ca="1">IF(Y154&lt;&gt;"",IF(ISNA(VLOOKUP($N154,OFFSET(選手情報!$A$6:$BD$119,0,0),56,FALSE)),"",VLOOKUP($N154,OFFSET(選手情報!$A$6:$BD$119,0,0),56,FALSE)),"")</f>
        <v/>
      </c>
      <c r="AA154" s="127" t="str">
        <f ca="1">IF(Z154&lt;&gt;"",IF(ISNA(VLOOKUP($N154,OFFSET(選手情報!$A$6:$M$119,Z154,0),13,FALSE)),"","/"&amp;VLOOKUP($N154,OFFSET(選手情報!$A$6:$M$119,Z154,0),13,FALSE)),"")</f>
        <v/>
      </c>
      <c r="AB154" s="127" t="str">
        <f ca="1">IF(Z154&lt;&gt;"",IF(ISNA(VLOOKUP($N154,OFFSET(選手情報!$A$6:$BD$119,Z154,0),56,FALSE)),"",VLOOKUP($N154,OFFSET(選手情報!$A$6:$BD$119,Z154,0),56,FALSE)),"")</f>
        <v/>
      </c>
      <c r="AC154" s="127" t="str">
        <f ca="1">IF(AB154&lt;&gt;"",IF(ISNA(VLOOKUP($N154,OFFSET(選手情報!$A$6:$M$119,AB154,0),13,FALSE)),"","/"&amp;VLOOKUP($N154,OFFSET(選手情報!$A$6:$M$119,AB154,0),13,FALSE)),"")</f>
        <v/>
      </c>
      <c r="AD154" s="127" t="str">
        <f ca="1">IF(AB154&lt;&gt;"",IF(ISNA(VLOOKUP($N154,OFFSET(選手情報!$A$6:$BD$119,AB154,0),56,FALSE)),"",VLOOKUP($N154,OFFSET(選手情報!$A$6:$BD$119,AB154,0),56,FALSE)),"")</f>
        <v/>
      </c>
      <c r="AE154" s="127" t="str">
        <f ca="1">IF(AD154&lt;&gt;"",IF(ISNA(VLOOKUP($N154,OFFSET(選手情報!$A$6:$M$119,AD154,0),13,FALSE)),"","/"&amp;VLOOKUP($N154,OFFSET(選手情報!$A$6:$M$119,AD154,0),13,FALSE)),"")</f>
        <v/>
      </c>
      <c r="AF154" s="127" t="str">
        <f ca="1">IF(AD154&lt;&gt;"",IF(ISNA(VLOOKUP($N154,OFFSET(選手情報!$A$6:$BD$119,AD154,0),56,FALSE)),"",VLOOKUP($N154,OFFSET(選手情報!$A$6:$BD$119,AD154,0),56,FALSE)),"")</f>
        <v/>
      </c>
      <c r="AG154" s="127" t="str">
        <f ca="1">IF(AF154&lt;&gt;"",IF(ISNA(VLOOKUP($N154,OFFSET(選手情報!$A$6:$M$119,AF154,0),13,FALSE)),"","/"&amp;VLOOKUP($N154,OFFSET(選手情報!$A$6:$M$119,AF154,0),13,FALSE)),"")</f>
        <v/>
      </c>
      <c r="AH154" s="127" t="str">
        <f ca="1">IF(AF154&lt;&gt;"",IF(ISNA(VLOOKUP($N154,OFFSET(選手情報!$A$6:$BD$119,AF154,0),56,FALSE)),"",VLOOKUP($N154,OFFSET(選手情報!$A$6:$BD$119,AF154,0),56,FALSE)),"")</f>
        <v/>
      </c>
      <c r="AI154" s="127" t="str">
        <f ca="1">IF(AH154&lt;&gt;"",IF(ISNA(VLOOKUP($N154,OFFSET(選手情報!$A$6:$M$119,AH154,0),13,FALSE)),"","/"&amp;VLOOKUP($N154,OFFSET(選手情報!$A$6:$M$119,AH154,0),13,FALSE)),"")</f>
        <v/>
      </c>
      <c r="AJ154" s="127" t="str">
        <f ca="1">IF(AH154&lt;&gt;"",IF(ISNA(VLOOKUP($N154,OFFSET(選手情報!$A$6:$BD$119,AH154,0),56,FALSE)),"",VLOOKUP($N154,OFFSET(選手情報!$A$6:$BD$119,AH154,0),56,FALSE)),"")</f>
        <v/>
      </c>
      <c r="AK154" s="127" t="str">
        <f ca="1">IF(AJ154&lt;&gt;"",IF(ISNA(VLOOKUP($N154,OFFSET(選手情報!$A$6:$M$119,AJ154,0),13,FALSE)),"","/"&amp;VLOOKUP($N154,OFFSET(選手情報!$A$6:$M$119,AJ154,0),13,FALSE)),"")</f>
        <v/>
      </c>
      <c r="AL154" s="127" t="str">
        <f ca="1">IF(AJ154&lt;&gt;"",IF(ISNA(VLOOKUP($N154,OFFSET(選手情報!$A$6:$BD$119,AJ154,0),56,FALSE)),"",VLOOKUP($N154,OFFSET(選手情報!$A$6:$BD$119,AJ154,0),56,FALSE)),"")</f>
        <v/>
      </c>
      <c r="AM154" s="127" t="str">
        <f ca="1">IF(AL154&lt;&gt;"",IF(ISNA(VLOOKUP($N154,OFFSET(選手情報!$A$6:$M$119,AL154,0),13,FALSE)),"","/"&amp;VLOOKUP($N154,OFFSET(選手情報!$A$6:$M$119,AL154,0),13,FALSE)),"")</f>
        <v/>
      </c>
      <c r="AN154" s="127" t="str">
        <f ca="1">IF(AL154&lt;&gt;"",IF(ISNA(VLOOKUP($N154,OFFSET(選手情報!$A$6:$BD$119,AL154,0),56,FALSE)),"",VLOOKUP($N154,OFFSET(選手情報!$A$6:$BD$119,AL154,0),56,FALSE)),"")</f>
        <v/>
      </c>
      <c r="AO154" s="127" t="str">
        <f ca="1">IF(AN154&lt;&gt;"",IF(ISNA(VLOOKUP($N154,OFFSET(選手情報!$A$6:$M$119,AN154,0),13,FALSE)),"","/"&amp;VLOOKUP($N154,OFFSET(選手情報!$A$6:$M$119,AN154,0),13,FALSE)),"")</f>
        <v/>
      </c>
      <c r="AP154" s="127" t="str">
        <f ca="1">IF(AN154&lt;&gt;"",IF(ISNA(VLOOKUP($N154,OFFSET(選手情報!$A$6:$BD$119,AN154,0),56,FALSE)),"",VLOOKUP($N154,OFFSET(選手情報!$A$6:$BD$119,AN154,0),56,FALSE)),"")</f>
        <v/>
      </c>
      <c r="AQ154" s="127" t="str">
        <f ca="1">IF(AP154&lt;&gt;"",IF(ISNA(VLOOKUP($N154,OFFSET(選手情報!$A$6:$M$119,AP154,0),13,FALSE)),"","/"&amp;VLOOKUP($N154,OFFSET(選手情報!$A$6:$M$119,AP154,0),13,FALSE)),"")</f>
        <v/>
      </c>
      <c r="AR154" s="127" t="str">
        <f ca="1">IF(AP154&lt;&gt;"",IF(ISNA(VLOOKUP($N154,OFFSET(選手情報!$A$6:$BD$119,AP154,0),56,FALSE)),"",VLOOKUP($N154,OFFSET(選手情報!$A$6:$BD$119,AP154,0),56,FALSE)),"")</f>
        <v/>
      </c>
      <c r="AS154" s="127" t="str">
        <f ca="1">IF(AR154&lt;&gt;"",IF(ISNA(VLOOKUP($N154,OFFSET(選手情報!$A$6:$M$119,AR154,0),13,FALSE)),"","/"&amp;VLOOKUP($N154,OFFSET(選手情報!$A$6:$M$119,AR154,0),13,FALSE)),"")</f>
        <v/>
      </c>
      <c r="AT154" s="127" t="str">
        <f ca="1">IF(AR154&lt;&gt;"",IF(ISNA(VLOOKUP($N154,OFFSET(選手情報!$A$6:$BD$119,AR154,0),56,FALSE)),"",VLOOKUP($N154,OFFSET(選手情報!$A$6:$BD$119,AR154,0),56,FALSE)),"")</f>
        <v/>
      </c>
      <c r="AU154" s="127" t="str">
        <f ca="1">IF(AT154&lt;&gt;"",IF(ISNA(VLOOKUP($N154,OFFSET(選手情報!$A$6:$M$119,AT154,0),13,FALSE)),"","/"&amp;VLOOKUP($N154,OFFSET(選手情報!$A$6:$M$119,AT154,0),13,FALSE)),"")</f>
        <v/>
      </c>
      <c r="AV154" s="127" t="str">
        <f ca="1">IF(AT154&lt;&gt;"",IF(ISNA(VLOOKUP($N154,OFFSET(選手情報!$A$6:$BD$119,AT154,0),56,FALSE)),"",VLOOKUP($N154,OFFSET(選手情報!$A$6:$BD$119,AT154,0),56,FALSE)),"")</f>
        <v/>
      </c>
      <c r="AW154" s="127" t="str">
        <f ca="1">IF(AV154&lt;&gt;"",IF(ISNA(VLOOKUP($N154,OFFSET(選手情報!$A$6:$M$119,AV154,0),13,FALSE)),"","/"&amp;VLOOKUP($N154,OFFSET(選手情報!$A$6:$M$119,AV154,0),13,FALSE)),"")</f>
        <v/>
      </c>
      <c r="AX154" s="127" t="str">
        <f ca="1">IF(AV154&lt;&gt;"",IF(ISNA(VLOOKUP($N154,OFFSET(選手情報!$A$6:$BD$119,AV154,0),56,FALSE)),"",VLOOKUP($N154,OFFSET(選手情報!$A$6:$BD$119,AV154,0),56,FALSE)),"")</f>
        <v/>
      </c>
      <c r="AY154" s="127" t="str">
        <f ca="1">IF(AX154&lt;&gt;"",IF(ISNA(VLOOKUP($N154,OFFSET(選手情報!$A$6:$M$119,AX154,0),13,FALSE)),"","/"&amp;VLOOKUP($N154,OFFSET(選手情報!$A$6:$M$119,AX154,0),13,FALSE)),"")</f>
        <v/>
      </c>
      <c r="AZ154" s="127" t="str">
        <f ca="1">IF(AX154&lt;&gt;"",IF(ISNA(VLOOKUP($N154,OFFSET(選手情報!$A$6:$BD$119,AX154,0),56,FALSE)),"",VLOOKUP($N154,OFFSET(選手情報!$A$6:$BD$119,AX154,0),56,FALSE)),"")</f>
        <v/>
      </c>
      <c r="BA154" s="127" t="str">
        <f ca="1">IF(AZ154&lt;&gt;"",IF(ISNA(VLOOKUP($N154,OFFSET(選手情報!$A$6:$M$119,AZ154,0),13,FALSE)),"","/"&amp;VLOOKUP($N154,OFFSET(選手情報!$A$6:$M$119,AZ154,0),13,FALSE)),"")</f>
        <v/>
      </c>
      <c r="BB154" s="127" t="str">
        <f ca="1">IF(AZ154&lt;&gt;"",IF(ISNA(VLOOKUP($N154,OFFSET(選手情報!$A$6:$BD$119,AZ154,0),56,FALSE)),"",VLOOKUP($N154,OFFSET(選手情報!$A$6:$BD$119,AZ154,0),56,FALSE)),"")</f>
        <v/>
      </c>
      <c r="BC154" s="127" t="str">
        <f ca="1">IF(BB154&lt;&gt;"",IF(ISNA(VLOOKUP($N154,OFFSET(選手情報!$A$6:$M$119,BB154,0),13,FALSE)),"","/"&amp;VLOOKUP($N154,OFFSET(選手情報!$A$6:$M$119,BB154,0),13,FALSE)),"")</f>
        <v/>
      </c>
      <c r="BD154" s="127" t="str">
        <f ca="1">IF(BB154&lt;&gt;"",IF(ISNA(VLOOKUP($N154,OFFSET(選手情報!$A$6:$BD$119,BB154,0),56,FALSE)),"",VLOOKUP($N154,OFFSET(選手情報!$A$6:$BD$119,BB154,0),56,FALSE)),"")</f>
        <v/>
      </c>
      <c r="BE154" s="127" t="str">
        <f ca="1">IF(BD154&lt;&gt;"",IF(ISNA(VLOOKUP($N154,OFFSET(選手情報!$A$6:$M$119,BD154,0),13,FALSE)),"","/"&amp;VLOOKUP($N154,OFFSET(選手情報!$A$6:$M$119,BD154,0),13,FALSE)),"")</f>
        <v/>
      </c>
      <c r="BF154" s="127" t="str">
        <f ca="1">IF(BD154&lt;&gt;"",IF(ISNA(VLOOKUP($N154,OFFSET(選手情報!$A$6:$BD$119,BD154,0),56,FALSE)),"",VLOOKUP($N154,OFFSET(選手情報!$A$6:$BD$119,BD154,0),56,FALSE)),"")</f>
        <v/>
      </c>
      <c r="BG154" s="127" t="str">
        <f ca="1">IF(BF154&lt;&gt;"",IF(ISNA(VLOOKUP($N154,OFFSET(選手情報!$A$6:$M$119,BF154,0),13,FALSE)),"","/"&amp;VLOOKUP($N154,OFFSET(選手情報!$A$6:$M$119,BF154,0),13,FALSE)),"")</f>
        <v/>
      </c>
      <c r="BH154" s="127" t="str">
        <f ca="1">IF(BF154&lt;&gt;"",IF(ISNA(VLOOKUP($N154,OFFSET(選手情報!$A$6:$BD$119,BF154,0),56,FALSE)),"",VLOOKUP($N154,OFFSET(選手情報!$A$6:$BD$119,BF154,0),56,FALSE)),"")</f>
        <v/>
      </c>
      <c r="BI154" s="127" t="str">
        <f ca="1">IF(BH154&lt;&gt;"",IF(ISNA(VLOOKUP($N154,OFFSET(選手情報!$A$6:$M$119,BH154,0),13,FALSE)),"","/"&amp;VLOOKUP($N154,OFFSET(選手情報!$A$6:$M$119,BH154,0),13,FALSE)),"")</f>
        <v/>
      </c>
    </row>
    <row r="155" spans="1:61" s="127" customFormat="1" ht="12.6" customHeight="1">
      <c r="A155" s="128" t="str">
        <f>IF(ISNA(VLOOKUP($C$2&amp;N155,選手データ!A:H,3,FALSE)),"",IF(M155&lt;&gt;M148,VLOOKUP($C$2&amp;N155,選手データ!A:H,3,FALSE),""))</f>
        <v/>
      </c>
      <c r="B155" s="129" t="str">
        <f>IF(A155&lt;&gt;"",VLOOKUP($C$2&amp;N155,選手データ!A:H,4,FALSE),"")</f>
        <v/>
      </c>
      <c r="C155" s="129" t="str">
        <f>IF(A155&lt;&gt;"",VLOOKUP($C$2&amp;N155,選手データ!A:H,5,FALSE),"")</f>
        <v/>
      </c>
      <c r="D155" s="129" t="str">
        <f>IF(A155&lt;&gt;"",VLOOKUP($C$2&amp;N155,選手データ!A:H,6,FALSE),"")</f>
        <v/>
      </c>
      <c r="E155" s="129" t="str">
        <f>IF(A155&lt;&gt;"",VLOOKUP($C$2&amp;N155,選手データ!A:H,7,FALSE),"")</f>
        <v/>
      </c>
      <c r="F155" s="130" t="str">
        <f>IF(A155&lt;&gt;"",VLOOKUP($C$2&amp;N155,選手データ!A:H,8,FALSE),"")</f>
        <v/>
      </c>
      <c r="G155" s="130" t="str">
        <f>IF(F155&lt;&gt;"",IF(DATEDIF(F155,設定!$B$12,"Y")&lt;20,"〇",""),"")</f>
        <v/>
      </c>
      <c r="H155" s="131" t="str">
        <f t="shared" ca="1" si="22"/>
        <v/>
      </c>
      <c r="I155" s="132" t="str">
        <f t="shared" ca="1" si="23"/>
        <v/>
      </c>
      <c r="J155" s="131" t="str">
        <f t="shared" ca="1" si="24"/>
        <v/>
      </c>
      <c r="K155" s="130" t="str">
        <f>IF(A155&lt;&gt;"",IF(COUNTIF(リレーチーム情報!$B$17:$B$22,A155&amp;E155)=1,"〇",""),"")</f>
        <v/>
      </c>
      <c r="L155" s="133" t="str">
        <f>IF(A155&lt;&gt;"",IF(COUNTIF(リレーチーム情報!$B$23:$B$28,A155&amp;E155)=1,"〇",""),"")</f>
        <v/>
      </c>
      <c r="M155" s="127">
        <f>IF(学校情報!$A$4&lt;&gt;"",0,IF(S154=0,MAX($M$109:M154)+1,M154))</f>
        <v>0</v>
      </c>
      <c r="N155" s="127" t="str">
        <f>IF(M155&lt;&gt;0,VLOOKUP(M155,選手情報!BI:BJ,2,FALSE),"")</f>
        <v/>
      </c>
      <c r="O155" s="127" t="str">
        <f ca="1">IF(M155&lt;&gt;0,VLOOKUP(N155,OFFSET(選手情報!$A$6:$W$119,IF(M155&lt;&gt;M154,0,R154),0),13,FALSE),"")</f>
        <v/>
      </c>
      <c r="P155" s="127" t="str">
        <f ca="1">IF(M155&lt;&gt;0,VLOOKUP(N155,OFFSET(選手情報!$A$6:$W$119,IF(M155&lt;&gt;M154,0,R154),0),16,FALSE),"")</f>
        <v/>
      </c>
      <c r="Q155" s="127" t="str">
        <f ca="1">IF(M155&lt;&gt;0,VLOOKUP(N155,OFFSET(選手情報!$A$6:$W$119,IF(M155&lt;&gt;M154,0,R154),0),21,FALSE),"")</f>
        <v/>
      </c>
      <c r="R155" s="127">
        <f ca="1">IF(M155&lt;&gt;0,VLOOKUP(N155,OFFSET(選手情報!$A$6:$BD$119,IF(M155&lt;&gt;M154,0,R154),0),56,FALSE),0)</f>
        <v>0</v>
      </c>
      <c r="S155" s="127">
        <f ca="1">IF(M155&lt;&gt;0,IF(ISNA(R155),0,COUNTIF(OFFSET(選手情報!$A$6:$A$119,R155,0),N155)),0)</f>
        <v>0</v>
      </c>
      <c r="U155" s="127">
        <f t="shared" si="25"/>
        <v>0</v>
      </c>
      <c r="V155" s="127">
        <f t="shared" ca="1" si="17"/>
        <v>1</v>
      </c>
      <c r="W155" s="127">
        <f t="shared" ca="1" si="12"/>
        <v>0</v>
      </c>
      <c r="X155" s="127" t="str">
        <f t="shared" ca="1" si="18"/>
        <v/>
      </c>
      <c r="Y155" s="127" t="str">
        <f>IF($A155&lt;&gt;"",IF(ISNA(VLOOKUP($N155,選手情報!$A$6:$M$119,13,FALSE)),"","/"&amp;VLOOKUP($N155,選手情報!$A$6:$M$119,13,FALSE)),"")</f>
        <v/>
      </c>
      <c r="Z155" s="127" t="str">
        <f ca="1">IF(Y155&lt;&gt;"",IF(ISNA(VLOOKUP($N155,OFFSET(選手情報!$A$6:$BD$119,0,0),56,FALSE)),"",VLOOKUP($N155,OFFSET(選手情報!$A$6:$BD$119,0,0),56,FALSE)),"")</f>
        <v/>
      </c>
      <c r="AA155" s="127" t="str">
        <f ca="1">IF(Z155&lt;&gt;"",IF(ISNA(VLOOKUP($N155,OFFSET(選手情報!$A$6:$M$119,Z155,0),13,FALSE)),"","/"&amp;VLOOKUP($N155,OFFSET(選手情報!$A$6:$M$119,Z155,0),13,FALSE)),"")</f>
        <v/>
      </c>
      <c r="AB155" s="127" t="str">
        <f ca="1">IF(Z155&lt;&gt;"",IF(ISNA(VLOOKUP($N155,OFFSET(選手情報!$A$6:$BD$119,Z155,0),56,FALSE)),"",VLOOKUP($N155,OFFSET(選手情報!$A$6:$BD$119,Z155,0),56,FALSE)),"")</f>
        <v/>
      </c>
      <c r="AC155" s="127" t="str">
        <f ca="1">IF(AB155&lt;&gt;"",IF(ISNA(VLOOKUP($N155,OFFSET(選手情報!$A$6:$M$119,AB155,0),13,FALSE)),"","/"&amp;VLOOKUP($N155,OFFSET(選手情報!$A$6:$M$119,AB155,0),13,FALSE)),"")</f>
        <v/>
      </c>
      <c r="AD155" s="127" t="str">
        <f ca="1">IF(AB155&lt;&gt;"",IF(ISNA(VLOOKUP($N155,OFFSET(選手情報!$A$6:$BD$119,AB155,0),56,FALSE)),"",VLOOKUP($N155,OFFSET(選手情報!$A$6:$BD$119,AB155,0),56,FALSE)),"")</f>
        <v/>
      </c>
      <c r="AE155" s="127" t="str">
        <f ca="1">IF(AD155&lt;&gt;"",IF(ISNA(VLOOKUP($N155,OFFSET(選手情報!$A$6:$M$119,AD155,0),13,FALSE)),"","/"&amp;VLOOKUP($N155,OFFSET(選手情報!$A$6:$M$119,AD155,0),13,FALSE)),"")</f>
        <v/>
      </c>
      <c r="AF155" s="127" t="str">
        <f ca="1">IF(AD155&lt;&gt;"",IF(ISNA(VLOOKUP($N155,OFFSET(選手情報!$A$6:$BD$119,AD155,0),56,FALSE)),"",VLOOKUP($N155,OFFSET(選手情報!$A$6:$BD$119,AD155,0),56,FALSE)),"")</f>
        <v/>
      </c>
      <c r="AG155" s="127" t="str">
        <f ca="1">IF(AF155&lt;&gt;"",IF(ISNA(VLOOKUP($N155,OFFSET(選手情報!$A$6:$M$119,AF155,0),13,FALSE)),"","/"&amp;VLOOKUP($N155,OFFSET(選手情報!$A$6:$M$119,AF155,0),13,FALSE)),"")</f>
        <v/>
      </c>
      <c r="AH155" s="127" t="str">
        <f ca="1">IF(AF155&lt;&gt;"",IF(ISNA(VLOOKUP($N155,OFFSET(選手情報!$A$6:$BD$119,AF155,0),56,FALSE)),"",VLOOKUP($N155,OFFSET(選手情報!$A$6:$BD$119,AF155,0),56,FALSE)),"")</f>
        <v/>
      </c>
      <c r="AI155" s="127" t="str">
        <f ca="1">IF(AH155&lt;&gt;"",IF(ISNA(VLOOKUP($N155,OFFSET(選手情報!$A$6:$M$119,AH155,0),13,FALSE)),"","/"&amp;VLOOKUP($N155,OFFSET(選手情報!$A$6:$M$119,AH155,0),13,FALSE)),"")</f>
        <v/>
      </c>
      <c r="AJ155" s="127" t="str">
        <f ca="1">IF(AH155&lt;&gt;"",IF(ISNA(VLOOKUP($N155,OFFSET(選手情報!$A$6:$BD$119,AH155,0),56,FALSE)),"",VLOOKUP($N155,OFFSET(選手情報!$A$6:$BD$119,AH155,0),56,FALSE)),"")</f>
        <v/>
      </c>
      <c r="AK155" s="127" t="str">
        <f ca="1">IF(AJ155&lt;&gt;"",IF(ISNA(VLOOKUP($N155,OFFSET(選手情報!$A$6:$M$119,AJ155,0),13,FALSE)),"","/"&amp;VLOOKUP($N155,OFFSET(選手情報!$A$6:$M$119,AJ155,0),13,FALSE)),"")</f>
        <v/>
      </c>
      <c r="AL155" s="127" t="str">
        <f ca="1">IF(AJ155&lt;&gt;"",IF(ISNA(VLOOKUP($N155,OFFSET(選手情報!$A$6:$BD$119,AJ155,0),56,FALSE)),"",VLOOKUP($N155,OFFSET(選手情報!$A$6:$BD$119,AJ155,0),56,FALSE)),"")</f>
        <v/>
      </c>
      <c r="AM155" s="127" t="str">
        <f ca="1">IF(AL155&lt;&gt;"",IF(ISNA(VLOOKUP($N155,OFFSET(選手情報!$A$6:$M$119,AL155,0),13,FALSE)),"","/"&amp;VLOOKUP($N155,OFFSET(選手情報!$A$6:$M$119,AL155,0),13,FALSE)),"")</f>
        <v/>
      </c>
      <c r="AN155" s="127" t="str">
        <f ca="1">IF(AL155&lt;&gt;"",IF(ISNA(VLOOKUP($N155,OFFSET(選手情報!$A$6:$BD$119,AL155,0),56,FALSE)),"",VLOOKUP($N155,OFFSET(選手情報!$A$6:$BD$119,AL155,0),56,FALSE)),"")</f>
        <v/>
      </c>
      <c r="AO155" s="127" t="str">
        <f ca="1">IF(AN155&lt;&gt;"",IF(ISNA(VLOOKUP($N155,OFFSET(選手情報!$A$6:$M$119,AN155,0),13,FALSE)),"","/"&amp;VLOOKUP($N155,OFFSET(選手情報!$A$6:$M$119,AN155,0),13,FALSE)),"")</f>
        <v/>
      </c>
      <c r="AP155" s="127" t="str">
        <f ca="1">IF(AN155&lt;&gt;"",IF(ISNA(VLOOKUP($N155,OFFSET(選手情報!$A$6:$BD$119,AN155,0),56,FALSE)),"",VLOOKUP($N155,OFFSET(選手情報!$A$6:$BD$119,AN155,0),56,FALSE)),"")</f>
        <v/>
      </c>
      <c r="AQ155" s="127" t="str">
        <f ca="1">IF(AP155&lt;&gt;"",IF(ISNA(VLOOKUP($N155,OFFSET(選手情報!$A$6:$M$119,AP155,0),13,FALSE)),"","/"&amp;VLOOKUP($N155,OFFSET(選手情報!$A$6:$M$119,AP155,0),13,FALSE)),"")</f>
        <v/>
      </c>
      <c r="AR155" s="127" t="str">
        <f ca="1">IF(AP155&lt;&gt;"",IF(ISNA(VLOOKUP($N155,OFFSET(選手情報!$A$6:$BD$119,AP155,0),56,FALSE)),"",VLOOKUP($N155,OFFSET(選手情報!$A$6:$BD$119,AP155,0),56,FALSE)),"")</f>
        <v/>
      </c>
      <c r="AS155" s="127" t="str">
        <f ca="1">IF(AR155&lt;&gt;"",IF(ISNA(VLOOKUP($N155,OFFSET(選手情報!$A$6:$M$119,AR155,0),13,FALSE)),"","/"&amp;VLOOKUP($N155,OFFSET(選手情報!$A$6:$M$119,AR155,0),13,FALSE)),"")</f>
        <v/>
      </c>
      <c r="AT155" s="127" t="str">
        <f ca="1">IF(AR155&lt;&gt;"",IF(ISNA(VLOOKUP($N155,OFFSET(選手情報!$A$6:$BD$119,AR155,0),56,FALSE)),"",VLOOKUP($N155,OFFSET(選手情報!$A$6:$BD$119,AR155,0),56,FALSE)),"")</f>
        <v/>
      </c>
      <c r="AU155" s="127" t="str">
        <f ca="1">IF(AT155&lt;&gt;"",IF(ISNA(VLOOKUP($N155,OFFSET(選手情報!$A$6:$M$119,AT155,0),13,FALSE)),"","/"&amp;VLOOKUP($N155,OFFSET(選手情報!$A$6:$M$119,AT155,0),13,FALSE)),"")</f>
        <v/>
      </c>
      <c r="AV155" s="127" t="str">
        <f ca="1">IF(AT155&lt;&gt;"",IF(ISNA(VLOOKUP($N155,OFFSET(選手情報!$A$6:$BD$119,AT155,0),56,FALSE)),"",VLOOKUP($N155,OFFSET(選手情報!$A$6:$BD$119,AT155,0),56,FALSE)),"")</f>
        <v/>
      </c>
      <c r="AW155" s="127" t="str">
        <f ca="1">IF(AV155&lt;&gt;"",IF(ISNA(VLOOKUP($N155,OFFSET(選手情報!$A$6:$M$119,AV155,0),13,FALSE)),"","/"&amp;VLOOKUP($N155,OFFSET(選手情報!$A$6:$M$119,AV155,0),13,FALSE)),"")</f>
        <v/>
      </c>
      <c r="AX155" s="127" t="str">
        <f ca="1">IF(AV155&lt;&gt;"",IF(ISNA(VLOOKUP($N155,OFFSET(選手情報!$A$6:$BD$119,AV155,0),56,FALSE)),"",VLOOKUP($N155,OFFSET(選手情報!$A$6:$BD$119,AV155,0),56,FALSE)),"")</f>
        <v/>
      </c>
      <c r="AY155" s="127" t="str">
        <f ca="1">IF(AX155&lt;&gt;"",IF(ISNA(VLOOKUP($N155,OFFSET(選手情報!$A$6:$M$119,AX155,0),13,FALSE)),"","/"&amp;VLOOKUP($N155,OFFSET(選手情報!$A$6:$M$119,AX155,0),13,FALSE)),"")</f>
        <v/>
      </c>
      <c r="AZ155" s="127" t="str">
        <f ca="1">IF(AX155&lt;&gt;"",IF(ISNA(VLOOKUP($N155,OFFSET(選手情報!$A$6:$BD$119,AX155,0),56,FALSE)),"",VLOOKUP($N155,OFFSET(選手情報!$A$6:$BD$119,AX155,0),56,FALSE)),"")</f>
        <v/>
      </c>
      <c r="BA155" s="127" t="str">
        <f ca="1">IF(AZ155&lt;&gt;"",IF(ISNA(VLOOKUP($N155,OFFSET(選手情報!$A$6:$M$119,AZ155,0),13,FALSE)),"","/"&amp;VLOOKUP($N155,OFFSET(選手情報!$A$6:$M$119,AZ155,0),13,FALSE)),"")</f>
        <v/>
      </c>
      <c r="BB155" s="127" t="str">
        <f ca="1">IF(AZ155&lt;&gt;"",IF(ISNA(VLOOKUP($N155,OFFSET(選手情報!$A$6:$BD$119,AZ155,0),56,FALSE)),"",VLOOKUP($N155,OFFSET(選手情報!$A$6:$BD$119,AZ155,0),56,FALSE)),"")</f>
        <v/>
      </c>
      <c r="BC155" s="127" t="str">
        <f ca="1">IF(BB155&lt;&gt;"",IF(ISNA(VLOOKUP($N155,OFFSET(選手情報!$A$6:$M$119,BB155,0),13,FALSE)),"","/"&amp;VLOOKUP($N155,OFFSET(選手情報!$A$6:$M$119,BB155,0),13,FALSE)),"")</f>
        <v/>
      </c>
      <c r="BD155" s="127" t="str">
        <f ca="1">IF(BB155&lt;&gt;"",IF(ISNA(VLOOKUP($N155,OFFSET(選手情報!$A$6:$BD$119,BB155,0),56,FALSE)),"",VLOOKUP($N155,OFFSET(選手情報!$A$6:$BD$119,BB155,0),56,FALSE)),"")</f>
        <v/>
      </c>
      <c r="BE155" s="127" t="str">
        <f ca="1">IF(BD155&lt;&gt;"",IF(ISNA(VLOOKUP($N155,OFFSET(選手情報!$A$6:$M$119,BD155,0),13,FALSE)),"","/"&amp;VLOOKUP($N155,OFFSET(選手情報!$A$6:$M$119,BD155,0),13,FALSE)),"")</f>
        <v/>
      </c>
      <c r="BF155" s="127" t="str">
        <f ca="1">IF(BD155&lt;&gt;"",IF(ISNA(VLOOKUP($N155,OFFSET(選手情報!$A$6:$BD$119,BD155,0),56,FALSE)),"",VLOOKUP($N155,OFFSET(選手情報!$A$6:$BD$119,BD155,0),56,FALSE)),"")</f>
        <v/>
      </c>
      <c r="BG155" s="127" t="str">
        <f ca="1">IF(BF155&lt;&gt;"",IF(ISNA(VLOOKUP($N155,OFFSET(選手情報!$A$6:$M$119,BF155,0),13,FALSE)),"","/"&amp;VLOOKUP($N155,OFFSET(選手情報!$A$6:$M$119,BF155,0),13,FALSE)),"")</f>
        <v/>
      </c>
      <c r="BH155" s="127" t="str">
        <f ca="1">IF(BF155&lt;&gt;"",IF(ISNA(VLOOKUP($N155,OFFSET(選手情報!$A$6:$BD$119,BF155,0),56,FALSE)),"",VLOOKUP($N155,OFFSET(選手情報!$A$6:$BD$119,BF155,0),56,FALSE)),"")</f>
        <v/>
      </c>
      <c r="BI155" s="127" t="str">
        <f ca="1">IF(BH155&lt;&gt;"",IF(ISNA(VLOOKUP($N155,OFFSET(選手情報!$A$6:$M$119,BH155,0),13,FALSE)),"","/"&amp;VLOOKUP($N155,OFFSET(選手情報!$A$6:$M$119,BH155,0),13,FALSE)),"")</f>
        <v/>
      </c>
    </row>
    <row r="156" spans="1:61" s="127" customFormat="1" ht="12.6" customHeight="1">
      <c r="A156" s="128" t="str">
        <f>IF(ISNA(VLOOKUP($C$2&amp;N156,選手データ!A:H,3,FALSE)),"",IF(M156&lt;&gt;M149,VLOOKUP($C$2&amp;N156,選手データ!A:H,3,FALSE),""))</f>
        <v/>
      </c>
      <c r="B156" s="129" t="str">
        <f>IF(A156&lt;&gt;"",VLOOKUP($C$2&amp;N156,選手データ!A:H,4,FALSE),"")</f>
        <v/>
      </c>
      <c r="C156" s="129" t="str">
        <f>IF(A156&lt;&gt;"",VLOOKUP($C$2&amp;N156,選手データ!A:H,5,FALSE),"")</f>
        <v/>
      </c>
      <c r="D156" s="129" t="str">
        <f>IF(A156&lt;&gt;"",VLOOKUP($C$2&amp;N156,選手データ!A:H,6,FALSE),"")</f>
        <v/>
      </c>
      <c r="E156" s="129" t="str">
        <f>IF(A156&lt;&gt;"",VLOOKUP($C$2&amp;N156,選手データ!A:H,7,FALSE),"")</f>
        <v/>
      </c>
      <c r="F156" s="130" t="str">
        <f>IF(A156&lt;&gt;"",VLOOKUP($C$2&amp;N156,選手データ!A:H,8,FALSE),"")</f>
        <v/>
      </c>
      <c r="G156" s="130" t="str">
        <f>IF(F156&lt;&gt;"",IF(DATEDIF(F156,設定!$B$12,"Y")&lt;20,"〇",""),"")</f>
        <v/>
      </c>
      <c r="H156" s="131" t="str">
        <f t="shared" ca="1" si="22"/>
        <v/>
      </c>
      <c r="I156" s="132" t="str">
        <f t="shared" ca="1" si="23"/>
        <v/>
      </c>
      <c r="J156" s="131" t="str">
        <f t="shared" ca="1" si="24"/>
        <v/>
      </c>
      <c r="K156" s="130" t="str">
        <f>IF(A156&lt;&gt;"",IF(COUNTIF(リレーチーム情報!$B$17:$B$22,A156&amp;E156)=1,"〇",""),"")</f>
        <v/>
      </c>
      <c r="L156" s="133" t="str">
        <f>IF(A156&lt;&gt;"",IF(COUNTIF(リレーチーム情報!$B$23:$B$28,A156&amp;E156)=1,"〇",""),"")</f>
        <v/>
      </c>
      <c r="M156" s="127">
        <f>IF(学校情報!$A$4&lt;&gt;"",0,IF(S155=0,MAX($M$109:M155)+1,M155))</f>
        <v>0</v>
      </c>
      <c r="N156" s="127" t="str">
        <f>IF(M156&lt;&gt;0,VLOOKUP(M156,選手情報!BI:BJ,2,FALSE),"")</f>
        <v/>
      </c>
      <c r="O156" s="127" t="str">
        <f ca="1">IF(M156&lt;&gt;0,VLOOKUP(N156,OFFSET(選手情報!$A$6:$W$119,IF(M156&lt;&gt;M155,0,R155),0),13,FALSE),"")</f>
        <v/>
      </c>
      <c r="P156" s="127" t="str">
        <f ca="1">IF(M156&lt;&gt;0,VLOOKUP(N156,OFFSET(選手情報!$A$6:$W$119,IF(M156&lt;&gt;M155,0,R155),0),16,FALSE),"")</f>
        <v/>
      </c>
      <c r="Q156" s="127" t="str">
        <f ca="1">IF(M156&lt;&gt;0,VLOOKUP(N156,OFFSET(選手情報!$A$6:$W$119,IF(M156&lt;&gt;M155,0,R155),0),21,FALSE),"")</f>
        <v/>
      </c>
      <c r="R156" s="127">
        <f ca="1">IF(M156&lt;&gt;0,VLOOKUP(N156,OFFSET(選手情報!$A$6:$BD$119,IF(M156&lt;&gt;M155,0,R155),0),56,FALSE),0)</f>
        <v>0</v>
      </c>
      <c r="S156" s="127">
        <f ca="1">IF(M156&lt;&gt;0,IF(ISNA(R156),0,COUNTIF(OFFSET(選手情報!$A$6:$A$119,R156,0),N156)),0)</f>
        <v>0</v>
      </c>
      <c r="U156" s="127">
        <f t="shared" si="25"/>
        <v>0</v>
      </c>
      <c r="V156" s="127">
        <f t="shared" ca="1" si="17"/>
        <v>1</v>
      </c>
      <c r="W156" s="127">
        <f t="shared" ca="1" si="12"/>
        <v>0</v>
      </c>
      <c r="X156" s="127" t="str">
        <f t="shared" ca="1" si="18"/>
        <v/>
      </c>
      <c r="Y156" s="127" t="str">
        <f>IF($A156&lt;&gt;"",IF(ISNA(VLOOKUP($N156,選手情報!$A$6:$M$119,13,FALSE)),"","/"&amp;VLOOKUP($N156,選手情報!$A$6:$M$119,13,FALSE)),"")</f>
        <v/>
      </c>
      <c r="Z156" s="127" t="str">
        <f ca="1">IF(Y156&lt;&gt;"",IF(ISNA(VLOOKUP($N156,OFFSET(選手情報!$A$6:$BD$119,0,0),56,FALSE)),"",VLOOKUP($N156,OFFSET(選手情報!$A$6:$BD$119,0,0),56,FALSE)),"")</f>
        <v/>
      </c>
      <c r="AA156" s="127" t="str">
        <f ca="1">IF(Z156&lt;&gt;"",IF(ISNA(VLOOKUP($N156,OFFSET(選手情報!$A$6:$M$119,Z156,0),13,FALSE)),"","/"&amp;VLOOKUP($N156,OFFSET(選手情報!$A$6:$M$119,Z156,0),13,FALSE)),"")</f>
        <v/>
      </c>
      <c r="AB156" s="127" t="str">
        <f ca="1">IF(Z156&lt;&gt;"",IF(ISNA(VLOOKUP($N156,OFFSET(選手情報!$A$6:$BD$119,Z156,0),56,FALSE)),"",VLOOKUP($N156,OFFSET(選手情報!$A$6:$BD$119,Z156,0),56,FALSE)),"")</f>
        <v/>
      </c>
      <c r="AC156" s="127" t="str">
        <f ca="1">IF(AB156&lt;&gt;"",IF(ISNA(VLOOKUP($N156,OFFSET(選手情報!$A$6:$M$119,AB156,0),13,FALSE)),"","/"&amp;VLOOKUP($N156,OFFSET(選手情報!$A$6:$M$119,AB156,0),13,FALSE)),"")</f>
        <v/>
      </c>
      <c r="AD156" s="127" t="str">
        <f ca="1">IF(AB156&lt;&gt;"",IF(ISNA(VLOOKUP($N156,OFFSET(選手情報!$A$6:$BD$119,AB156,0),56,FALSE)),"",VLOOKUP($N156,OFFSET(選手情報!$A$6:$BD$119,AB156,0),56,FALSE)),"")</f>
        <v/>
      </c>
      <c r="AE156" s="127" t="str">
        <f ca="1">IF(AD156&lt;&gt;"",IF(ISNA(VLOOKUP($N156,OFFSET(選手情報!$A$6:$M$119,AD156,0),13,FALSE)),"","/"&amp;VLOOKUP($N156,OFFSET(選手情報!$A$6:$M$119,AD156,0),13,FALSE)),"")</f>
        <v/>
      </c>
      <c r="AF156" s="127" t="str">
        <f ca="1">IF(AD156&lt;&gt;"",IF(ISNA(VLOOKUP($N156,OFFSET(選手情報!$A$6:$BD$119,AD156,0),56,FALSE)),"",VLOOKUP($N156,OFFSET(選手情報!$A$6:$BD$119,AD156,0),56,FALSE)),"")</f>
        <v/>
      </c>
      <c r="AG156" s="127" t="str">
        <f ca="1">IF(AF156&lt;&gt;"",IF(ISNA(VLOOKUP($N156,OFFSET(選手情報!$A$6:$M$119,AF156,0),13,FALSE)),"","/"&amp;VLOOKUP($N156,OFFSET(選手情報!$A$6:$M$119,AF156,0),13,FALSE)),"")</f>
        <v/>
      </c>
      <c r="AH156" s="127" t="str">
        <f ca="1">IF(AF156&lt;&gt;"",IF(ISNA(VLOOKUP($N156,OFFSET(選手情報!$A$6:$BD$119,AF156,0),56,FALSE)),"",VLOOKUP($N156,OFFSET(選手情報!$A$6:$BD$119,AF156,0),56,FALSE)),"")</f>
        <v/>
      </c>
      <c r="AI156" s="127" t="str">
        <f ca="1">IF(AH156&lt;&gt;"",IF(ISNA(VLOOKUP($N156,OFFSET(選手情報!$A$6:$M$119,AH156,0),13,FALSE)),"","/"&amp;VLOOKUP($N156,OFFSET(選手情報!$A$6:$M$119,AH156,0),13,FALSE)),"")</f>
        <v/>
      </c>
      <c r="AJ156" s="127" t="str">
        <f ca="1">IF(AH156&lt;&gt;"",IF(ISNA(VLOOKUP($N156,OFFSET(選手情報!$A$6:$BD$119,AH156,0),56,FALSE)),"",VLOOKUP($N156,OFFSET(選手情報!$A$6:$BD$119,AH156,0),56,FALSE)),"")</f>
        <v/>
      </c>
      <c r="AK156" s="127" t="str">
        <f ca="1">IF(AJ156&lt;&gt;"",IF(ISNA(VLOOKUP($N156,OFFSET(選手情報!$A$6:$M$119,AJ156,0),13,FALSE)),"","/"&amp;VLOOKUP($N156,OFFSET(選手情報!$A$6:$M$119,AJ156,0),13,FALSE)),"")</f>
        <v/>
      </c>
      <c r="AL156" s="127" t="str">
        <f ca="1">IF(AJ156&lt;&gt;"",IF(ISNA(VLOOKUP($N156,OFFSET(選手情報!$A$6:$BD$119,AJ156,0),56,FALSE)),"",VLOOKUP($N156,OFFSET(選手情報!$A$6:$BD$119,AJ156,0),56,FALSE)),"")</f>
        <v/>
      </c>
      <c r="AM156" s="127" t="str">
        <f ca="1">IF(AL156&lt;&gt;"",IF(ISNA(VLOOKUP($N156,OFFSET(選手情報!$A$6:$M$119,AL156,0),13,FALSE)),"","/"&amp;VLOOKUP($N156,OFFSET(選手情報!$A$6:$M$119,AL156,0),13,FALSE)),"")</f>
        <v/>
      </c>
      <c r="AN156" s="127" t="str">
        <f ca="1">IF(AL156&lt;&gt;"",IF(ISNA(VLOOKUP($N156,OFFSET(選手情報!$A$6:$BD$119,AL156,0),56,FALSE)),"",VLOOKUP($N156,OFFSET(選手情報!$A$6:$BD$119,AL156,0),56,FALSE)),"")</f>
        <v/>
      </c>
      <c r="AO156" s="127" t="str">
        <f ca="1">IF(AN156&lt;&gt;"",IF(ISNA(VLOOKUP($N156,OFFSET(選手情報!$A$6:$M$119,AN156,0),13,FALSE)),"","/"&amp;VLOOKUP($N156,OFFSET(選手情報!$A$6:$M$119,AN156,0),13,FALSE)),"")</f>
        <v/>
      </c>
      <c r="AP156" s="127" t="str">
        <f ca="1">IF(AN156&lt;&gt;"",IF(ISNA(VLOOKUP($N156,OFFSET(選手情報!$A$6:$BD$119,AN156,0),56,FALSE)),"",VLOOKUP($N156,OFFSET(選手情報!$A$6:$BD$119,AN156,0),56,FALSE)),"")</f>
        <v/>
      </c>
      <c r="AQ156" s="127" t="str">
        <f ca="1">IF(AP156&lt;&gt;"",IF(ISNA(VLOOKUP($N156,OFFSET(選手情報!$A$6:$M$119,AP156,0),13,FALSE)),"","/"&amp;VLOOKUP($N156,OFFSET(選手情報!$A$6:$M$119,AP156,0),13,FALSE)),"")</f>
        <v/>
      </c>
      <c r="AR156" s="127" t="str">
        <f ca="1">IF(AP156&lt;&gt;"",IF(ISNA(VLOOKUP($N156,OFFSET(選手情報!$A$6:$BD$119,AP156,0),56,FALSE)),"",VLOOKUP($N156,OFFSET(選手情報!$A$6:$BD$119,AP156,0),56,FALSE)),"")</f>
        <v/>
      </c>
      <c r="AS156" s="127" t="str">
        <f ca="1">IF(AR156&lt;&gt;"",IF(ISNA(VLOOKUP($N156,OFFSET(選手情報!$A$6:$M$119,AR156,0),13,FALSE)),"","/"&amp;VLOOKUP($N156,OFFSET(選手情報!$A$6:$M$119,AR156,0),13,FALSE)),"")</f>
        <v/>
      </c>
      <c r="AT156" s="127" t="str">
        <f ca="1">IF(AR156&lt;&gt;"",IF(ISNA(VLOOKUP($N156,OFFSET(選手情報!$A$6:$BD$119,AR156,0),56,FALSE)),"",VLOOKUP($N156,OFFSET(選手情報!$A$6:$BD$119,AR156,0),56,FALSE)),"")</f>
        <v/>
      </c>
      <c r="AU156" s="127" t="str">
        <f ca="1">IF(AT156&lt;&gt;"",IF(ISNA(VLOOKUP($N156,OFFSET(選手情報!$A$6:$M$119,AT156,0),13,FALSE)),"","/"&amp;VLOOKUP($N156,OFFSET(選手情報!$A$6:$M$119,AT156,0),13,FALSE)),"")</f>
        <v/>
      </c>
      <c r="AV156" s="127" t="str">
        <f ca="1">IF(AT156&lt;&gt;"",IF(ISNA(VLOOKUP($N156,OFFSET(選手情報!$A$6:$BD$119,AT156,0),56,FALSE)),"",VLOOKUP($N156,OFFSET(選手情報!$A$6:$BD$119,AT156,0),56,FALSE)),"")</f>
        <v/>
      </c>
      <c r="AW156" s="127" t="str">
        <f ca="1">IF(AV156&lt;&gt;"",IF(ISNA(VLOOKUP($N156,OFFSET(選手情報!$A$6:$M$119,AV156,0),13,FALSE)),"","/"&amp;VLOOKUP($N156,OFFSET(選手情報!$A$6:$M$119,AV156,0),13,FALSE)),"")</f>
        <v/>
      </c>
      <c r="AX156" s="127" t="str">
        <f ca="1">IF(AV156&lt;&gt;"",IF(ISNA(VLOOKUP($N156,OFFSET(選手情報!$A$6:$BD$119,AV156,0),56,FALSE)),"",VLOOKUP($N156,OFFSET(選手情報!$A$6:$BD$119,AV156,0),56,FALSE)),"")</f>
        <v/>
      </c>
      <c r="AY156" s="127" t="str">
        <f ca="1">IF(AX156&lt;&gt;"",IF(ISNA(VLOOKUP($N156,OFFSET(選手情報!$A$6:$M$119,AX156,0),13,FALSE)),"","/"&amp;VLOOKUP($N156,OFFSET(選手情報!$A$6:$M$119,AX156,0),13,FALSE)),"")</f>
        <v/>
      </c>
      <c r="AZ156" s="127" t="str">
        <f ca="1">IF(AX156&lt;&gt;"",IF(ISNA(VLOOKUP($N156,OFFSET(選手情報!$A$6:$BD$119,AX156,0),56,FALSE)),"",VLOOKUP($N156,OFFSET(選手情報!$A$6:$BD$119,AX156,0),56,FALSE)),"")</f>
        <v/>
      </c>
      <c r="BA156" s="127" t="str">
        <f ca="1">IF(AZ156&lt;&gt;"",IF(ISNA(VLOOKUP($N156,OFFSET(選手情報!$A$6:$M$119,AZ156,0),13,FALSE)),"","/"&amp;VLOOKUP($N156,OFFSET(選手情報!$A$6:$M$119,AZ156,0),13,FALSE)),"")</f>
        <v/>
      </c>
      <c r="BB156" s="127" t="str">
        <f ca="1">IF(AZ156&lt;&gt;"",IF(ISNA(VLOOKUP($N156,OFFSET(選手情報!$A$6:$BD$119,AZ156,0),56,FALSE)),"",VLOOKUP($N156,OFFSET(選手情報!$A$6:$BD$119,AZ156,0),56,FALSE)),"")</f>
        <v/>
      </c>
      <c r="BC156" s="127" t="str">
        <f ca="1">IF(BB156&lt;&gt;"",IF(ISNA(VLOOKUP($N156,OFFSET(選手情報!$A$6:$M$119,BB156,0),13,FALSE)),"","/"&amp;VLOOKUP($N156,OFFSET(選手情報!$A$6:$M$119,BB156,0),13,FALSE)),"")</f>
        <v/>
      </c>
      <c r="BD156" s="127" t="str">
        <f ca="1">IF(BB156&lt;&gt;"",IF(ISNA(VLOOKUP($N156,OFFSET(選手情報!$A$6:$BD$119,BB156,0),56,FALSE)),"",VLOOKUP($N156,OFFSET(選手情報!$A$6:$BD$119,BB156,0),56,FALSE)),"")</f>
        <v/>
      </c>
      <c r="BE156" s="127" t="str">
        <f ca="1">IF(BD156&lt;&gt;"",IF(ISNA(VLOOKUP($N156,OFFSET(選手情報!$A$6:$M$119,BD156,0),13,FALSE)),"","/"&amp;VLOOKUP($N156,OFFSET(選手情報!$A$6:$M$119,BD156,0),13,FALSE)),"")</f>
        <v/>
      </c>
      <c r="BF156" s="127" t="str">
        <f ca="1">IF(BD156&lt;&gt;"",IF(ISNA(VLOOKUP($N156,OFFSET(選手情報!$A$6:$BD$119,BD156,0),56,FALSE)),"",VLOOKUP($N156,OFFSET(選手情報!$A$6:$BD$119,BD156,0),56,FALSE)),"")</f>
        <v/>
      </c>
      <c r="BG156" s="127" t="str">
        <f ca="1">IF(BF156&lt;&gt;"",IF(ISNA(VLOOKUP($N156,OFFSET(選手情報!$A$6:$M$119,BF156,0),13,FALSE)),"","/"&amp;VLOOKUP($N156,OFFSET(選手情報!$A$6:$M$119,BF156,0),13,FALSE)),"")</f>
        <v/>
      </c>
      <c r="BH156" s="127" t="str">
        <f ca="1">IF(BF156&lt;&gt;"",IF(ISNA(VLOOKUP($N156,OFFSET(選手情報!$A$6:$BD$119,BF156,0),56,FALSE)),"",VLOOKUP($N156,OFFSET(選手情報!$A$6:$BD$119,BF156,0),56,FALSE)),"")</f>
        <v/>
      </c>
      <c r="BI156" s="127" t="str">
        <f ca="1">IF(BH156&lt;&gt;"",IF(ISNA(VLOOKUP($N156,OFFSET(選手情報!$A$6:$M$119,BH156,0),13,FALSE)),"","/"&amp;VLOOKUP($N156,OFFSET(選手情報!$A$6:$M$119,BH156,0),13,FALSE)),"")</f>
        <v/>
      </c>
    </row>
    <row r="157" spans="1:61" s="127" customFormat="1" ht="12.6" customHeight="1">
      <c r="A157" s="128" t="str">
        <f>IF(ISNA(VLOOKUP($C$2&amp;N157,選手データ!A:H,3,FALSE)),"",IF(M157&lt;&gt;M150,VLOOKUP($C$2&amp;N157,選手データ!A:H,3,FALSE),""))</f>
        <v/>
      </c>
      <c r="B157" s="129" t="str">
        <f>IF(A157&lt;&gt;"",VLOOKUP($C$2&amp;N157,選手データ!A:H,4,FALSE),"")</f>
        <v/>
      </c>
      <c r="C157" s="129" t="str">
        <f>IF(A157&lt;&gt;"",VLOOKUP($C$2&amp;N157,選手データ!A:H,5,FALSE),"")</f>
        <v/>
      </c>
      <c r="D157" s="129" t="str">
        <f>IF(A157&lt;&gt;"",VLOOKUP($C$2&amp;N157,選手データ!A:H,6,FALSE),"")</f>
        <v/>
      </c>
      <c r="E157" s="129" t="str">
        <f>IF(A157&lt;&gt;"",VLOOKUP($C$2&amp;N157,選手データ!A:H,7,FALSE),"")</f>
        <v/>
      </c>
      <c r="F157" s="130" t="str">
        <f>IF(A157&lt;&gt;"",VLOOKUP($C$2&amp;N157,選手データ!A:H,8,FALSE),"")</f>
        <v/>
      </c>
      <c r="G157" s="130" t="str">
        <f>IF(F157&lt;&gt;"",IF(DATEDIF(F157,設定!$B$12,"Y")&lt;20,"〇",""),"")</f>
        <v/>
      </c>
      <c r="H157" s="131" t="str">
        <f t="shared" ca="1" si="22"/>
        <v/>
      </c>
      <c r="I157" s="132" t="str">
        <f t="shared" ca="1" si="23"/>
        <v/>
      </c>
      <c r="J157" s="131" t="str">
        <f t="shared" ca="1" si="24"/>
        <v/>
      </c>
      <c r="K157" s="130" t="str">
        <f>IF(A157&lt;&gt;"",IF(COUNTIF(リレーチーム情報!$B$17:$B$22,A157&amp;E157)=1,"〇",""),"")</f>
        <v/>
      </c>
      <c r="L157" s="133" t="str">
        <f>IF(A157&lt;&gt;"",IF(COUNTIF(リレーチーム情報!$B$23:$B$28,A157&amp;E157)=1,"〇",""),"")</f>
        <v/>
      </c>
      <c r="M157" s="127">
        <f>IF(学校情報!$A$4&lt;&gt;"",0,IF(S156=0,MAX($M$109:M156)+1,M156))</f>
        <v>0</v>
      </c>
      <c r="N157" s="127" t="str">
        <f>IF(M157&lt;&gt;0,VLOOKUP(M157,選手情報!BI:BJ,2,FALSE),"")</f>
        <v/>
      </c>
      <c r="O157" s="127" t="str">
        <f ca="1">IF(M157&lt;&gt;0,VLOOKUP(N157,OFFSET(選手情報!$A$6:$W$119,IF(M157&lt;&gt;M156,0,R156),0),13,FALSE),"")</f>
        <v/>
      </c>
      <c r="P157" s="127" t="str">
        <f ca="1">IF(M157&lt;&gt;0,VLOOKUP(N157,OFFSET(選手情報!$A$6:$W$119,IF(M157&lt;&gt;M156,0,R156),0),16,FALSE),"")</f>
        <v/>
      </c>
      <c r="Q157" s="127" t="str">
        <f ca="1">IF(M157&lt;&gt;0,VLOOKUP(N157,OFFSET(選手情報!$A$6:$W$119,IF(M157&lt;&gt;M156,0,R156),0),21,FALSE),"")</f>
        <v/>
      </c>
      <c r="R157" s="127">
        <f ca="1">IF(M157&lt;&gt;0,VLOOKUP(N157,OFFSET(選手情報!$A$6:$BD$119,IF(M157&lt;&gt;M156,0,R156),0),56,FALSE),0)</f>
        <v>0</v>
      </c>
      <c r="S157" s="127">
        <f ca="1">IF(M157&lt;&gt;0,IF(ISNA(R157),0,COUNTIF(OFFSET(選手情報!$A$6:$A$119,R157,0),N157)),0)</f>
        <v>0</v>
      </c>
      <c r="U157" s="127">
        <f t="shared" si="25"/>
        <v>0</v>
      </c>
      <c r="V157" s="127">
        <f t="shared" ca="1" si="17"/>
        <v>1</v>
      </c>
      <c r="W157" s="127">
        <f t="shared" ca="1" si="12"/>
        <v>0</v>
      </c>
      <c r="X157" s="127" t="str">
        <f t="shared" ca="1" si="18"/>
        <v/>
      </c>
      <c r="Y157" s="127" t="str">
        <f>IF($A157&lt;&gt;"",IF(ISNA(VLOOKUP($N157,選手情報!$A$6:$M$119,13,FALSE)),"","/"&amp;VLOOKUP($N157,選手情報!$A$6:$M$119,13,FALSE)),"")</f>
        <v/>
      </c>
      <c r="Z157" s="127" t="str">
        <f ca="1">IF(Y157&lt;&gt;"",IF(ISNA(VLOOKUP($N157,OFFSET(選手情報!$A$6:$BD$119,0,0),56,FALSE)),"",VLOOKUP($N157,OFFSET(選手情報!$A$6:$BD$119,0,0),56,FALSE)),"")</f>
        <v/>
      </c>
      <c r="AA157" s="127" t="str">
        <f ca="1">IF(Z157&lt;&gt;"",IF(ISNA(VLOOKUP($N157,OFFSET(選手情報!$A$6:$M$119,Z157,0),13,FALSE)),"","/"&amp;VLOOKUP($N157,OFFSET(選手情報!$A$6:$M$119,Z157,0),13,FALSE)),"")</f>
        <v/>
      </c>
      <c r="AB157" s="127" t="str">
        <f ca="1">IF(Z157&lt;&gt;"",IF(ISNA(VLOOKUP($N157,OFFSET(選手情報!$A$6:$BD$119,Z157,0),56,FALSE)),"",VLOOKUP($N157,OFFSET(選手情報!$A$6:$BD$119,Z157,0),56,FALSE)),"")</f>
        <v/>
      </c>
      <c r="AC157" s="127" t="str">
        <f ca="1">IF(AB157&lt;&gt;"",IF(ISNA(VLOOKUP($N157,OFFSET(選手情報!$A$6:$M$119,AB157,0),13,FALSE)),"","/"&amp;VLOOKUP($N157,OFFSET(選手情報!$A$6:$M$119,AB157,0),13,FALSE)),"")</f>
        <v/>
      </c>
      <c r="AD157" s="127" t="str">
        <f ca="1">IF(AB157&lt;&gt;"",IF(ISNA(VLOOKUP($N157,OFFSET(選手情報!$A$6:$BD$119,AB157,0),56,FALSE)),"",VLOOKUP($N157,OFFSET(選手情報!$A$6:$BD$119,AB157,0),56,FALSE)),"")</f>
        <v/>
      </c>
      <c r="AE157" s="127" t="str">
        <f ca="1">IF(AD157&lt;&gt;"",IF(ISNA(VLOOKUP($N157,OFFSET(選手情報!$A$6:$M$119,AD157,0),13,FALSE)),"","/"&amp;VLOOKUP($N157,OFFSET(選手情報!$A$6:$M$119,AD157,0),13,FALSE)),"")</f>
        <v/>
      </c>
      <c r="AF157" s="127" t="str">
        <f ca="1">IF(AD157&lt;&gt;"",IF(ISNA(VLOOKUP($N157,OFFSET(選手情報!$A$6:$BD$119,AD157,0),56,FALSE)),"",VLOOKUP($N157,OFFSET(選手情報!$A$6:$BD$119,AD157,0),56,FALSE)),"")</f>
        <v/>
      </c>
      <c r="AG157" s="127" t="str">
        <f ca="1">IF(AF157&lt;&gt;"",IF(ISNA(VLOOKUP($N157,OFFSET(選手情報!$A$6:$M$119,AF157,0),13,FALSE)),"","/"&amp;VLOOKUP($N157,OFFSET(選手情報!$A$6:$M$119,AF157,0),13,FALSE)),"")</f>
        <v/>
      </c>
      <c r="AH157" s="127" t="str">
        <f ca="1">IF(AF157&lt;&gt;"",IF(ISNA(VLOOKUP($N157,OFFSET(選手情報!$A$6:$BD$119,AF157,0),56,FALSE)),"",VLOOKUP($N157,OFFSET(選手情報!$A$6:$BD$119,AF157,0),56,FALSE)),"")</f>
        <v/>
      </c>
      <c r="AI157" s="127" t="str">
        <f ca="1">IF(AH157&lt;&gt;"",IF(ISNA(VLOOKUP($N157,OFFSET(選手情報!$A$6:$M$119,AH157,0),13,FALSE)),"","/"&amp;VLOOKUP($N157,OFFSET(選手情報!$A$6:$M$119,AH157,0),13,FALSE)),"")</f>
        <v/>
      </c>
      <c r="AJ157" s="127" t="str">
        <f ca="1">IF(AH157&lt;&gt;"",IF(ISNA(VLOOKUP($N157,OFFSET(選手情報!$A$6:$BD$119,AH157,0),56,FALSE)),"",VLOOKUP($N157,OFFSET(選手情報!$A$6:$BD$119,AH157,0),56,FALSE)),"")</f>
        <v/>
      </c>
      <c r="AK157" s="127" t="str">
        <f ca="1">IF(AJ157&lt;&gt;"",IF(ISNA(VLOOKUP($N157,OFFSET(選手情報!$A$6:$M$119,AJ157,0),13,FALSE)),"","/"&amp;VLOOKUP($N157,OFFSET(選手情報!$A$6:$M$119,AJ157,0),13,FALSE)),"")</f>
        <v/>
      </c>
      <c r="AL157" s="127" t="str">
        <f ca="1">IF(AJ157&lt;&gt;"",IF(ISNA(VLOOKUP($N157,OFFSET(選手情報!$A$6:$BD$119,AJ157,0),56,FALSE)),"",VLOOKUP($N157,OFFSET(選手情報!$A$6:$BD$119,AJ157,0),56,FALSE)),"")</f>
        <v/>
      </c>
      <c r="AM157" s="127" t="str">
        <f ca="1">IF(AL157&lt;&gt;"",IF(ISNA(VLOOKUP($N157,OFFSET(選手情報!$A$6:$M$119,AL157,0),13,FALSE)),"","/"&amp;VLOOKUP($N157,OFFSET(選手情報!$A$6:$M$119,AL157,0),13,FALSE)),"")</f>
        <v/>
      </c>
      <c r="AN157" s="127" t="str">
        <f ca="1">IF(AL157&lt;&gt;"",IF(ISNA(VLOOKUP($N157,OFFSET(選手情報!$A$6:$BD$119,AL157,0),56,FALSE)),"",VLOOKUP($N157,OFFSET(選手情報!$A$6:$BD$119,AL157,0),56,FALSE)),"")</f>
        <v/>
      </c>
      <c r="AO157" s="127" t="str">
        <f ca="1">IF(AN157&lt;&gt;"",IF(ISNA(VLOOKUP($N157,OFFSET(選手情報!$A$6:$M$119,AN157,0),13,FALSE)),"","/"&amp;VLOOKUP($N157,OFFSET(選手情報!$A$6:$M$119,AN157,0),13,FALSE)),"")</f>
        <v/>
      </c>
      <c r="AP157" s="127" t="str">
        <f ca="1">IF(AN157&lt;&gt;"",IF(ISNA(VLOOKUP($N157,OFFSET(選手情報!$A$6:$BD$119,AN157,0),56,FALSE)),"",VLOOKUP($N157,OFFSET(選手情報!$A$6:$BD$119,AN157,0),56,FALSE)),"")</f>
        <v/>
      </c>
      <c r="AQ157" s="127" t="str">
        <f ca="1">IF(AP157&lt;&gt;"",IF(ISNA(VLOOKUP($N157,OFFSET(選手情報!$A$6:$M$119,AP157,0),13,FALSE)),"","/"&amp;VLOOKUP($N157,OFFSET(選手情報!$A$6:$M$119,AP157,0),13,FALSE)),"")</f>
        <v/>
      </c>
      <c r="AR157" s="127" t="str">
        <f ca="1">IF(AP157&lt;&gt;"",IF(ISNA(VLOOKUP($N157,OFFSET(選手情報!$A$6:$BD$119,AP157,0),56,FALSE)),"",VLOOKUP($N157,OFFSET(選手情報!$A$6:$BD$119,AP157,0),56,FALSE)),"")</f>
        <v/>
      </c>
      <c r="AS157" s="127" t="str">
        <f ca="1">IF(AR157&lt;&gt;"",IF(ISNA(VLOOKUP($N157,OFFSET(選手情報!$A$6:$M$119,AR157,0),13,FALSE)),"","/"&amp;VLOOKUP($N157,OFFSET(選手情報!$A$6:$M$119,AR157,0),13,FALSE)),"")</f>
        <v/>
      </c>
      <c r="AT157" s="127" t="str">
        <f ca="1">IF(AR157&lt;&gt;"",IF(ISNA(VLOOKUP($N157,OFFSET(選手情報!$A$6:$BD$119,AR157,0),56,FALSE)),"",VLOOKUP($N157,OFFSET(選手情報!$A$6:$BD$119,AR157,0),56,FALSE)),"")</f>
        <v/>
      </c>
      <c r="AU157" s="127" t="str">
        <f ca="1">IF(AT157&lt;&gt;"",IF(ISNA(VLOOKUP($N157,OFFSET(選手情報!$A$6:$M$119,AT157,0),13,FALSE)),"","/"&amp;VLOOKUP($N157,OFFSET(選手情報!$A$6:$M$119,AT157,0),13,FALSE)),"")</f>
        <v/>
      </c>
      <c r="AV157" s="127" t="str">
        <f ca="1">IF(AT157&lt;&gt;"",IF(ISNA(VLOOKUP($N157,OFFSET(選手情報!$A$6:$BD$119,AT157,0),56,FALSE)),"",VLOOKUP($N157,OFFSET(選手情報!$A$6:$BD$119,AT157,0),56,FALSE)),"")</f>
        <v/>
      </c>
      <c r="AW157" s="127" t="str">
        <f ca="1">IF(AV157&lt;&gt;"",IF(ISNA(VLOOKUP($N157,OFFSET(選手情報!$A$6:$M$119,AV157,0),13,FALSE)),"","/"&amp;VLOOKUP($N157,OFFSET(選手情報!$A$6:$M$119,AV157,0),13,FALSE)),"")</f>
        <v/>
      </c>
      <c r="AX157" s="127" t="str">
        <f ca="1">IF(AV157&lt;&gt;"",IF(ISNA(VLOOKUP($N157,OFFSET(選手情報!$A$6:$BD$119,AV157,0),56,FALSE)),"",VLOOKUP($N157,OFFSET(選手情報!$A$6:$BD$119,AV157,0),56,FALSE)),"")</f>
        <v/>
      </c>
      <c r="AY157" s="127" t="str">
        <f ca="1">IF(AX157&lt;&gt;"",IF(ISNA(VLOOKUP($N157,OFFSET(選手情報!$A$6:$M$119,AX157,0),13,FALSE)),"","/"&amp;VLOOKUP($N157,OFFSET(選手情報!$A$6:$M$119,AX157,0),13,FALSE)),"")</f>
        <v/>
      </c>
      <c r="AZ157" s="127" t="str">
        <f ca="1">IF(AX157&lt;&gt;"",IF(ISNA(VLOOKUP($N157,OFFSET(選手情報!$A$6:$BD$119,AX157,0),56,FALSE)),"",VLOOKUP($N157,OFFSET(選手情報!$A$6:$BD$119,AX157,0),56,FALSE)),"")</f>
        <v/>
      </c>
      <c r="BA157" s="127" t="str">
        <f ca="1">IF(AZ157&lt;&gt;"",IF(ISNA(VLOOKUP($N157,OFFSET(選手情報!$A$6:$M$119,AZ157,0),13,FALSE)),"","/"&amp;VLOOKUP($N157,OFFSET(選手情報!$A$6:$M$119,AZ157,0),13,FALSE)),"")</f>
        <v/>
      </c>
      <c r="BB157" s="127" t="str">
        <f ca="1">IF(AZ157&lt;&gt;"",IF(ISNA(VLOOKUP($N157,OFFSET(選手情報!$A$6:$BD$119,AZ157,0),56,FALSE)),"",VLOOKUP($N157,OFFSET(選手情報!$A$6:$BD$119,AZ157,0),56,FALSE)),"")</f>
        <v/>
      </c>
      <c r="BC157" s="127" t="str">
        <f ca="1">IF(BB157&lt;&gt;"",IF(ISNA(VLOOKUP($N157,OFFSET(選手情報!$A$6:$M$119,BB157,0),13,FALSE)),"","/"&amp;VLOOKUP($N157,OFFSET(選手情報!$A$6:$M$119,BB157,0),13,FALSE)),"")</f>
        <v/>
      </c>
      <c r="BD157" s="127" t="str">
        <f ca="1">IF(BB157&lt;&gt;"",IF(ISNA(VLOOKUP($N157,OFFSET(選手情報!$A$6:$BD$119,BB157,0),56,FALSE)),"",VLOOKUP($N157,OFFSET(選手情報!$A$6:$BD$119,BB157,0),56,FALSE)),"")</f>
        <v/>
      </c>
      <c r="BE157" s="127" t="str">
        <f ca="1">IF(BD157&lt;&gt;"",IF(ISNA(VLOOKUP($N157,OFFSET(選手情報!$A$6:$M$119,BD157,0),13,FALSE)),"","/"&amp;VLOOKUP($N157,OFFSET(選手情報!$A$6:$M$119,BD157,0),13,FALSE)),"")</f>
        <v/>
      </c>
      <c r="BF157" s="127" t="str">
        <f ca="1">IF(BD157&lt;&gt;"",IF(ISNA(VLOOKUP($N157,OFFSET(選手情報!$A$6:$BD$119,BD157,0),56,FALSE)),"",VLOOKUP($N157,OFFSET(選手情報!$A$6:$BD$119,BD157,0),56,FALSE)),"")</f>
        <v/>
      </c>
      <c r="BG157" s="127" t="str">
        <f ca="1">IF(BF157&lt;&gt;"",IF(ISNA(VLOOKUP($N157,OFFSET(選手情報!$A$6:$M$119,BF157,0),13,FALSE)),"","/"&amp;VLOOKUP($N157,OFFSET(選手情報!$A$6:$M$119,BF157,0),13,FALSE)),"")</f>
        <v/>
      </c>
      <c r="BH157" s="127" t="str">
        <f ca="1">IF(BF157&lt;&gt;"",IF(ISNA(VLOOKUP($N157,OFFSET(選手情報!$A$6:$BD$119,BF157,0),56,FALSE)),"",VLOOKUP($N157,OFFSET(選手情報!$A$6:$BD$119,BF157,0),56,FALSE)),"")</f>
        <v/>
      </c>
      <c r="BI157" s="127" t="str">
        <f ca="1">IF(BH157&lt;&gt;"",IF(ISNA(VLOOKUP($N157,OFFSET(選手情報!$A$6:$M$119,BH157,0),13,FALSE)),"","/"&amp;VLOOKUP($N157,OFFSET(選手情報!$A$6:$M$119,BH157,0),13,FALSE)),"")</f>
        <v/>
      </c>
    </row>
    <row r="158" spans="1:61" s="127" customFormat="1" ht="12.6" customHeight="1">
      <c r="A158" s="128" t="str">
        <f>IF(ISNA(VLOOKUP($C$2&amp;N158,選手データ!A:H,3,FALSE)),"",IF(M158&lt;&gt;M151,VLOOKUP($C$2&amp;N158,選手データ!A:H,3,FALSE),""))</f>
        <v/>
      </c>
      <c r="B158" s="129" t="str">
        <f>IF(A158&lt;&gt;"",VLOOKUP($C$2&amp;N158,選手データ!A:H,4,FALSE),"")</f>
        <v/>
      </c>
      <c r="C158" s="129" t="str">
        <f>IF(A158&lt;&gt;"",VLOOKUP($C$2&amp;N158,選手データ!A:H,5,FALSE),"")</f>
        <v/>
      </c>
      <c r="D158" s="129" t="str">
        <f>IF(A158&lt;&gt;"",VLOOKUP($C$2&amp;N158,選手データ!A:H,6,FALSE),"")</f>
        <v/>
      </c>
      <c r="E158" s="129" t="str">
        <f>IF(A158&lt;&gt;"",VLOOKUP($C$2&amp;N158,選手データ!A:H,7,FALSE),"")</f>
        <v/>
      </c>
      <c r="F158" s="130" t="str">
        <f>IF(A158&lt;&gt;"",VLOOKUP($C$2&amp;N158,選手データ!A:H,8,FALSE),"")</f>
        <v/>
      </c>
      <c r="G158" s="130" t="str">
        <f>IF(F158&lt;&gt;"",IF(DATEDIF(F158,設定!$B$12,"Y")&lt;20,"〇",""),"")</f>
        <v/>
      </c>
      <c r="H158" s="131" t="str">
        <f t="shared" ca="1" si="22"/>
        <v/>
      </c>
      <c r="I158" s="132" t="str">
        <f t="shared" ca="1" si="23"/>
        <v/>
      </c>
      <c r="J158" s="131" t="str">
        <f t="shared" ca="1" si="24"/>
        <v/>
      </c>
      <c r="K158" s="130" t="str">
        <f>IF(A158&lt;&gt;"",IF(COUNTIF(リレーチーム情報!$B$17:$B$22,A158&amp;E158)=1,"〇",""),"")</f>
        <v/>
      </c>
      <c r="L158" s="133" t="str">
        <f>IF(A158&lt;&gt;"",IF(COUNTIF(リレーチーム情報!$B$23:$B$28,A158&amp;E158)=1,"〇",""),"")</f>
        <v/>
      </c>
      <c r="M158" s="127">
        <f>IF(学校情報!$A$4&lt;&gt;"",0,IF(S157=0,MAX($M$109:M157)+1,M157))</f>
        <v>0</v>
      </c>
      <c r="N158" s="127" t="str">
        <f>IF(M158&lt;&gt;0,VLOOKUP(M158,選手情報!BI:BJ,2,FALSE),"")</f>
        <v/>
      </c>
      <c r="O158" s="127" t="str">
        <f ca="1">IF(M158&lt;&gt;0,VLOOKUP(N158,OFFSET(選手情報!$A$6:$W$119,IF(M158&lt;&gt;M157,0,R157),0),13,FALSE),"")</f>
        <v/>
      </c>
      <c r="P158" s="127" t="str">
        <f ca="1">IF(M158&lt;&gt;0,VLOOKUP(N158,OFFSET(選手情報!$A$6:$W$119,IF(M158&lt;&gt;M157,0,R157),0),16,FALSE),"")</f>
        <v/>
      </c>
      <c r="Q158" s="127" t="str">
        <f ca="1">IF(M158&lt;&gt;0,VLOOKUP(N158,OFFSET(選手情報!$A$6:$W$119,IF(M158&lt;&gt;M157,0,R157),0),21,FALSE),"")</f>
        <v/>
      </c>
      <c r="R158" s="127">
        <f ca="1">IF(M158&lt;&gt;0,VLOOKUP(N158,OFFSET(選手情報!$A$6:$BD$119,IF(M158&lt;&gt;M157,0,R157),0),56,FALSE),0)</f>
        <v>0</v>
      </c>
      <c r="S158" s="127">
        <f ca="1">IF(M158&lt;&gt;0,IF(ISNA(R158),0,COUNTIF(OFFSET(選手情報!$A$6:$A$119,R158,0),N158)),0)</f>
        <v>0</v>
      </c>
      <c r="U158" s="127">
        <f t="shared" si="25"/>
        <v>0</v>
      </c>
      <c r="V158" s="127">
        <f t="shared" ca="1" si="17"/>
        <v>1</v>
      </c>
      <c r="W158" s="127">
        <f t="shared" ca="1" si="12"/>
        <v>0</v>
      </c>
      <c r="X158" s="127" t="str">
        <f t="shared" ca="1" si="18"/>
        <v/>
      </c>
      <c r="Y158" s="127" t="str">
        <f>IF($A158&lt;&gt;"",IF(ISNA(VLOOKUP($N158,選手情報!$A$6:$M$119,13,FALSE)),"","/"&amp;VLOOKUP($N158,選手情報!$A$6:$M$119,13,FALSE)),"")</f>
        <v/>
      </c>
      <c r="Z158" s="127" t="str">
        <f ca="1">IF(Y158&lt;&gt;"",IF(ISNA(VLOOKUP($N158,OFFSET(選手情報!$A$6:$BD$119,0,0),56,FALSE)),"",VLOOKUP($N158,OFFSET(選手情報!$A$6:$BD$119,0,0),56,FALSE)),"")</f>
        <v/>
      </c>
      <c r="AA158" s="127" t="str">
        <f ca="1">IF(Z158&lt;&gt;"",IF(ISNA(VLOOKUP($N158,OFFSET(選手情報!$A$6:$M$119,Z158,0),13,FALSE)),"","/"&amp;VLOOKUP($N158,OFFSET(選手情報!$A$6:$M$119,Z158,0),13,FALSE)),"")</f>
        <v/>
      </c>
      <c r="AB158" s="127" t="str">
        <f ca="1">IF(Z158&lt;&gt;"",IF(ISNA(VLOOKUP($N158,OFFSET(選手情報!$A$6:$BD$119,Z158,0),56,FALSE)),"",VLOOKUP($N158,OFFSET(選手情報!$A$6:$BD$119,Z158,0),56,FALSE)),"")</f>
        <v/>
      </c>
      <c r="AC158" s="127" t="str">
        <f ca="1">IF(AB158&lt;&gt;"",IF(ISNA(VLOOKUP($N158,OFFSET(選手情報!$A$6:$M$119,AB158,0),13,FALSE)),"","/"&amp;VLOOKUP($N158,OFFSET(選手情報!$A$6:$M$119,AB158,0),13,FALSE)),"")</f>
        <v/>
      </c>
      <c r="AD158" s="127" t="str">
        <f ca="1">IF(AB158&lt;&gt;"",IF(ISNA(VLOOKUP($N158,OFFSET(選手情報!$A$6:$BD$119,AB158,0),56,FALSE)),"",VLOOKUP($N158,OFFSET(選手情報!$A$6:$BD$119,AB158,0),56,FALSE)),"")</f>
        <v/>
      </c>
      <c r="AE158" s="127" t="str">
        <f ca="1">IF(AD158&lt;&gt;"",IF(ISNA(VLOOKUP($N158,OFFSET(選手情報!$A$6:$M$119,AD158,0),13,FALSE)),"","/"&amp;VLOOKUP($N158,OFFSET(選手情報!$A$6:$M$119,AD158,0),13,FALSE)),"")</f>
        <v/>
      </c>
      <c r="AF158" s="127" t="str">
        <f ca="1">IF(AD158&lt;&gt;"",IF(ISNA(VLOOKUP($N158,OFFSET(選手情報!$A$6:$BD$119,AD158,0),56,FALSE)),"",VLOOKUP($N158,OFFSET(選手情報!$A$6:$BD$119,AD158,0),56,FALSE)),"")</f>
        <v/>
      </c>
      <c r="AG158" s="127" t="str">
        <f ca="1">IF(AF158&lt;&gt;"",IF(ISNA(VLOOKUP($N158,OFFSET(選手情報!$A$6:$M$119,AF158,0),13,FALSE)),"","/"&amp;VLOOKUP($N158,OFFSET(選手情報!$A$6:$M$119,AF158,0),13,FALSE)),"")</f>
        <v/>
      </c>
      <c r="AH158" s="127" t="str">
        <f ca="1">IF(AF158&lt;&gt;"",IF(ISNA(VLOOKUP($N158,OFFSET(選手情報!$A$6:$BD$119,AF158,0),56,FALSE)),"",VLOOKUP($N158,OFFSET(選手情報!$A$6:$BD$119,AF158,0),56,FALSE)),"")</f>
        <v/>
      </c>
      <c r="AI158" s="127" t="str">
        <f ca="1">IF(AH158&lt;&gt;"",IF(ISNA(VLOOKUP($N158,OFFSET(選手情報!$A$6:$M$119,AH158,0),13,FALSE)),"","/"&amp;VLOOKUP($N158,OFFSET(選手情報!$A$6:$M$119,AH158,0),13,FALSE)),"")</f>
        <v/>
      </c>
      <c r="AJ158" s="127" t="str">
        <f ca="1">IF(AH158&lt;&gt;"",IF(ISNA(VLOOKUP($N158,OFFSET(選手情報!$A$6:$BD$119,AH158,0),56,FALSE)),"",VLOOKUP($N158,OFFSET(選手情報!$A$6:$BD$119,AH158,0),56,FALSE)),"")</f>
        <v/>
      </c>
      <c r="AK158" s="127" t="str">
        <f ca="1">IF(AJ158&lt;&gt;"",IF(ISNA(VLOOKUP($N158,OFFSET(選手情報!$A$6:$M$119,AJ158,0),13,FALSE)),"","/"&amp;VLOOKUP($N158,OFFSET(選手情報!$A$6:$M$119,AJ158,0),13,FALSE)),"")</f>
        <v/>
      </c>
      <c r="AL158" s="127" t="str">
        <f ca="1">IF(AJ158&lt;&gt;"",IF(ISNA(VLOOKUP($N158,OFFSET(選手情報!$A$6:$BD$119,AJ158,0),56,FALSE)),"",VLOOKUP($N158,OFFSET(選手情報!$A$6:$BD$119,AJ158,0),56,FALSE)),"")</f>
        <v/>
      </c>
      <c r="AM158" s="127" t="str">
        <f ca="1">IF(AL158&lt;&gt;"",IF(ISNA(VLOOKUP($N158,OFFSET(選手情報!$A$6:$M$119,AL158,0),13,FALSE)),"","/"&amp;VLOOKUP($N158,OFFSET(選手情報!$A$6:$M$119,AL158,0),13,FALSE)),"")</f>
        <v/>
      </c>
      <c r="AN158" s="127" t="str">
        <f ca="1">IF(AL158&lt;&gt;"",IF(ISNA(VLOOKUP($N158,OFFSET(選手情報!$A$6:$BD$119,AL158,0),56,FALSE)),"",VLOOKUP($N158,OFFSET(選手情報!$A$6:$BD$119,AL158,0),56,FALSE)),"")</f>
        <v/>
      </c>
      <c r="AO158" s="127" t="str">
        <f ca="1">IF(AN158&lt;&gt;"",IF(ISNA(VLOOKUP($N158,OFFSET(選手情報!$A$6:$M$119,AN158,0),13,FALSE)),"","/"&amp;VLOOKUP($N158,OFFSET(選手情報!$A$6:$M$119,AN158,0),13,FALSE)),"")</f>
        <v/>
      </c>
      <c r="AP158" s="127" t="str">
        <f ca="1">IF(AN158&lt;&gt;"",IF(ISNA(VLOOKUP($N158,OFFSET(選手情報!$A$6:$BD$119,AN158,0),56,FALSE)),"",VLOOKUP($N158,OFFSET(選手情報!$A$6:$BD$119,AN158,0),56,FALSE)),"")</f>
        <v/>
      </c>
      <c r="AQ158" s="127" t="str">
        <f ca="1">IF(AP158&lt;&gt;"",IF(ISNA(VLOOKUP($N158,OFFSET(選手情報!$A$6:$M$119,AP158,0),13,FALSE)),"","/"&amp;VLOOKUP($N158,OFFSET(選手情報!$A$6:$M$119,AP158,0),13,FALSE)),"")</f>
        <v/>
      </c>
      <c r="AR158" s="127" t="str">
        <f ca="1">IF(AP158&lt;&gt;"",IF(ISNA(VLOOKUP($N158,OFFSET(選手情報!$A$6:$BD$119,AP158,0),56,FALSE)),"",VLOOKUP($N158,OFFSET(選手情報!$A$6:$BD$119,AP158,0),56,FALSE)),"")</f>
        <v/>
      </c>
      <c r="AS158" s="127" t="str">
        <f ca="1">IF(AR158&lt;&gt;"",IF(ISNA(VLOOKUP($N158,OFFSET(選手情報!$A$6:$M$119,AR158,0),13,FALSE)),"","/"&amp;VLOOKUP($N158,OFFSET(選手情報!$A$6:$M$119,AR158,0),13,FALSE)),"")</f>
        <v/>
      </c>
      <c r="AT158" s="127" t="str">
        <f ca="1">IF(AR158&lt;&gt;"",IF(ISNA(VLOOKUP($N158,OFFSET(選手情報!$A$6:$BD$119,AR158,0),56,FALSE)),"",VLOOKUP($N158,OFFSET(選手情報!$A$6:$BD$119,AR158,0),56,FALSE)),"")</f>
        <v/>
      </c>
      <c r="AU158" s="127" t="str">
        <f ca="1">IF(AT158&lt;&gt;"",IF(ISNA(VLOOKUP($N158,OFFSET(選手情報!$A$6:$M$119,AT158,0),13,FALSE)),"","/"&amp;VLOOKUP($N158,OFFSET(選手情報!$A$6:$M$119,AT158,0),13,FALSE)),"")</f>
        <v/>
      </c>
      <c r="AV158" s="127" t="str">
        <f ca="1">IF(AT158&lt;&gt;"",IF(ISNA(VLOOKUP($N158,OFFSET(選手情報!$A$6:$BD$119,AT158,0),56,FALSE)),"",VLOOKUP($N158,OFFSET(選手情報!$A$6:$BD$119,AT158,0),56,FALSE)),"")</f>
        <v/>
      </c>
      <c r="AW158" s="127" t="str">
        <f ca="1">IF(AV158&lt;&gt;"",IF(ISNA(VLOOKUP($N158,OFFSET(選手情報!$A$6:$M$119,AV158,0),13,FALSE)),"","/"&amp;VLOOKUP($N158,OFFSET(選手情報!$A$6:$M$119,AV158,0),13,FALSE)),"")</f>
        <v/>
      </c>
      <c r="AX158" s="127" t="str">
        <f ca="1">IF(AV158&lt;&gt;"",IF(ISNA(VLOOKUP($N158,OFFSET(選手情報!$A$6:$BD$119,AV158,0),56,FALSE)),"",VLOOKUP($N158,OFFSET(選手情報!$A$6:$BD$119,AV158,0),56,FALSE)),"")</f>
        <v/>
      </c>
      <c r="AY158" s="127" t="str">
        <f ca="1">IF(AX158&lt;&gt;"",IF(ISNA(VLOOKUP($N158,OFFSET(選手情報!$A$6:$M$119,AX158,0),13,FALSE)),"","/"&amp;VLOOKUP($N158,OFFSET(選手情報!$A$6:$M$119,AX158,0),13,FALSE)),"")</f>
        <v/>
      </c>
      <c r="AZ158" s="127" t="str">
        <f ca="1">IF(AX158&lt;&gt;"",IF(ISNA(VLOOKUP($N158,OFFSET(選手情報!$A$6:$BD$119,AX158,0),56,FALSE)),"",VLOOKUP($N158,OFFSET(選手情報!$A$6:$BD$119,AX158,0),56,FALSE)),"")</f>
        <v/>
      </c>
      <c r="BA158" s="127" t="str">
        <f ca="1">IF(AZ158&lt;&gt;"",IF(ISNA(VLOOKUP($N158,OFFSET(選手情報!$A$6:$M$119,AZ158,0),13,FALSE)),"","/"&amp;VLOOKUP($N158,OFFSET(選手情報!$A$6:$M$119,AZ158,0),13,FALSE)),"")</f>
        <v/>
      </c>
      <c r="BB158" s="127" t="str">
        <f ca="1">IF(AZ158&lt;&gt;"",IF(ISNA(VLOOKUP($N158,OFFSET(選手情報!$A$6:$BD$119,AZ158,0),56,FALSE)),"",VLOOKUP($N158,OFFSET(選手情報!$A$6:$BD$119,AZ158,0),56,FALSE)),"")</f>
        <v/>
      </c>
      <c r="BC158" s="127" t="str">
        <f ca="1">IF(BB158&lt;&gt;"",IF(ISNA(VLOOKUP($N158,OFFSET(選手情報!$A$6:$M$119,BB158,0),13,FALSE)),"","/"&amp;VLOOKUP($N158,OFFSET(選手情報!$A$6:$M$119,BB158,0),13,FALSE)),"")</f>
        <v/>
      </c>
      <c r="BD158" s="127" t="str">
        <f ca="1">IF(BB158&lt;&gt;"",IF(ISNA(VLOOKUP($N158,OFFSET(選手情報!$A$6:$BD$119,BB158,0),56,FALSE)),"",VLOOKUP($N158,OFFSET(選手情報!$A$6:$BD$119,BB158,0),56,FALSE)),"")</f>
        <v/>
      </c>
      <c r="BE158" s="127" t="str">
        <f ca="1">IF(BD158&lt;&gt;"",IF(ISNA(VLOOKUP($N158,OFFSET(選手情報!$A$6:$M$119,BD158,0),13,FALSE)),"","/"&amp;VLOOKUP($N158,OFFSET(選手情報!$A$6:$M$119,BD158,0),13,FALSE)),"")</f>
        <v/>
      </c>
      <c r="BF158" s="127" t="str">
        <f ca="1">IF(BD158&lt;&gt;"",IF(ISNA(VLOOKUP($N158,OFFSET(選手情報!$A$6:$BD$119,BD158,0),56,FALSE)),"",VLOOKUP($N158,OFFSET(選手情報!$A$6:$BD$119,BD158,0),56,FALSE)),"")</f>
        <v/>
      </c>
      <c r="BG158" s="127" t="str">
        <f ca="1">IF(BF158&lt;&gt;"",IF(ISNA(VLOOKUP($N158,OFFSET(選手情報!$A$6:$M$119,BF158,0),13,FALSE)),"","/"&amp;VLOOKUP($N158,OFFSET(選手情報!$A$6:$M$119,BF158,0),13,FALSE)),"")</f>
        <v/>
      </c>
      <c r="BH158" s="127" t="str">
        <f ca="1">IF(BF158&lt;&gt;"",IF(ISNA(VLOOKUP($N158,OFFSET(選手情報!$A$6:$BD$119,BF158,0),56,FALSE)),"",VLOOKUP($N158,OFFSET(選手情報!$A$6:$BD$119,BF158,0),56,FALSE)),"")</f>
        <v/>
      </c>
      <c r="BI158" s="127" t="str">
        <f ca="1">IF(BH158&lt;&gt;"",IF(ISNA(VLOOKUP($N158,OFFSET(選手情報!$A$6:$M$119,BH158,0),13,FALSE)),"","/"&amp;VLOOKUP($N158,OFFSET(選手情報!$A$6:$M$119,BH158,0),13,FALSE)),"")</f>
        <v/>
      </c>
    </row>
    <row r="159" spans="1:61" s="127" customFormat="1" ht="12.6" customHeight="1">
      <c r="A159" s="128" t="str">
        <f>IF(ISNA(VLOOKUP($C$2&amp;N159,選手データ!A:H,3,FALSE)),"",IF(M159&lt;&gt;M152,VLOOKUP($C$2&amp;N159,選手データ!A:H,3,FALSE),""))</f>
        <v/>
      </c>
      <c r="B159" s="129" t="str">
        <f>IF(A159&lt;&gt;"",VLOOKUP($C$2&amp;N159,選手データ!A:H,4,FALSE),"")</f>
        <v/>
      </c>
      <c r="C159" s="129" t="str">
        <f>IF(A159&lt;&gt;"",VLOOKUP($C$2&amp;N159,選手データ!A:H,5,FALSE),"")</f>
        <v/>
      </c>
      <c r="D159" s="129" t="str">
        <f>IF(A159&lt;&gt;"",VLOOKUP($C$2&amp;N159,選手データ!A:H,6,FALSE),"")</f>
        <v/>
      </c>
      <c r="E159" s="129" t="str">
        <f>IF(A159&lt;&gt;"",VLOOKUP($C$2&amp;N159,選手データ!A:H,7,FALSE),"")</f>
        <v/>
      </c>
      <c r="F159" s="130" t="str">
        <f>IF(A159&lt;&gt;"",VLOOKUP($C$2&amp;N159,選手データ!A:H,8,FALSE),"")</f>
        <v/>
      </c>
      <c r="G159" s="130" t="str">
        <f>IF(F159&lt;&gt;"",IF(DATEDIF(F159,設定!$B$12,"Y")&lt;20,"〇",""),"")</f>
        <v/>
      </c>
      <c r="H159" s="131" t="str">
        <f t="shared" ca="1" si="22"/>
        <v/>
      </c>
      <c r="I159" s="132" t="str">
        <f t="shared" ca="1" si="23"/>
        <v/>
      </c>
      <c r="J159" s="131" t="str">
        <f t="shared" ca="1" si="24"/>
        <v/>
      </c>
      <c r="K159" s="130" t="str">
        <f>IF(A159&lt;&gt;"",IF(COUNTIF(リレーチーム情報!$B$17:$B$22,A159&amp;E159)=1,"〇",""),"")</f>
        <v/>
      </c>
      <c r="L159" s="133" t="str">
        <f>IF(A159&lt;&gt;"",IF(COUNTIF(リレーチーム情報!$B$23:$B$28,A159&amp;E159)=1,"〇",""),"")</f>
        <v/>
      </c>
      <c r="M159" s="127">
        <f>IF(学校情報!$A$4&lt;&gt;"",0,IF(S158=0,MAX($M$109:M158)+1,M158))</f>
        <v>0</v>
      </c>
      <c r="N159" s="127" t="str">
        <f>IF(M159&lt;&gt;0,VLOOKUP(M159,選手情報!BI:BJ,2,FALSE),"")</f>
        <v/>
      </c>
      <c r="O159" s="127" t="str">
        <f ca="1">IF(M159&lt;&gt;0,VLOOKUP(N159,OFFSET(選手情報!$A$6:$W$119,IF(M159&lt;&gt;M158,0,R158),0),13,FALSE),"")</f>
        <v/>
      </c>
      <c r="P159" s="127" t="str">
        <f ca="1">IF(M159&lt;&gt;0,VLOOKUP(N159,OFFSET(選手情報!$A$6:$W$119,IF(M159&lt;&gt;M158,0,R158),0),16,FALSE),"")</f>
        <v/>
      </c>
      <c r="Q159" s="127" t="str">
        <f ca="1">IF(M159&lt;&gt;0,VLOOKUP(N159,OFFSET(選手情報!$A$6:$W$119,IF(M159&lt;&gt;M158,0,R158),0),21,FALSE),"")</f>
        <v/>
      </c>
      <c r="R159" s="127">
        <f ca="1">IF(M159&lt;&gt;0,VLOOKUP(N159,OFFSET(選手情報!$A$6:$BD$119,IF(M159&lt;&gt;M158,0,R158),0),56,FALSE),0)</f>
        <v>0</v>
      </c>
      <c r="S159" s="127">
        <f ca="1">IF(M159&lt;&gt;0,IF(ISNA(R159),0,COUNTIF(OFFSET(選手情報!$A$6:$A$119,R159,0),N159)),0)</f>
        <v>0</v>
      </c>
      <c r="U159" s="127">
        <f t="shared" si="25"/>
        <v>0</v>
      </c>
      <c r="V159" s="127">
        <f t="shared" ca="1" si="17"/>
        <v>1</v>
      </c>
      <c r="W159" s="127">
        <f t="shared" ca="1" si="12"/>
        <v>0</v>
      </c>
      <c r="X159" s="127" t="str">
        <f t="shared" ca="1" si="18"/>
        <v/>
      </c>
      <c r="Y159" s="127" t="str">
        <f>IF($A159&lt;&gt;"",IF(ISNA(VLOOKUP($N159,選手情報!$A$6:$M$119,13,FALSE)),"","/"&amp;VLOOKUP($N159,選手情報!$A$6:$M$119,13,FALSE)),"")</f>
        <v/>
      </c>
      <c r="Z159" s="127" t="str">
        <f ca="1">IF(Y159&lt;&gt;"",IF(ISNA(VLOOKUP($N159,OFFSET(選手情報!$A$6:$BD$119,0,0),56,FALSE)),"",VLOOKUP($N159,OFFSET(選手情報!$A$6:$BD$119,0,0),56,FALSE)),"")</f>
        <v/>
      </c>
      <c r="AA159" s="127" t="str">
        <f ca="1">IF(Z159&lt;&gt;"",IF(ISNA(VLOOKUP($N159,OFFSET(選手情報!$A$6:$M$119,Z159,0),13,FALSE)),"","/"&amp;VLOOKUP($N159,OFFSET(選手情報!$A$6:$M$119,Z159,0),13,FALSE)),"")</f>
        <v/>
      </c>
      <c r="AB159" s="127" t="str">
        <f ca="1">IF(Z159&lt;&gt;"",IF(ISNA(VLOOKUP($N159,OFFSET(選手情報!$A$6:$BD$119,Z159,0),56,FALSE)),"",VLOOKUP($N159,OFFSET(選手情報!$A$6:$BD$119,Z159,0),56,FALSE)),"")</f>
        <v/>
      </c>
      <c r="AC159" s="127" t="str">
        <f ca="1">IF(AB159&lt;&gt;"",IF(ISNA(VLOOKUP($N159,OFFSET(選手情報!$A$6:$M$119,AB159,0),13,FALSE)),"","/"&amp;VLOOKUP($N159,OFFSET(選手情報!$A$6:$M$119,AB159,0),13,FALSE)),"")</f>
        <v/>
      </c>
      <c r="AD159" s="127" t="str">
        <f ca="1">IF(AB159&lt;&gt;"",IF(ISNA(VLOOKUP($N159,OFFSET(選手情報!$A$6:$BD$119,AB159,0),56,FALSE)),"",VLOOKUP($N159,OFFSET(選手情報!$A$6:$BD$119,AB159,0),56,FALSE)),"")</f>
        <v/>
      </c>
      <c r="AE159" s="127" t="str">
        <f ca="1">IF(AD159&lt;&gt;"",IF(ISNA(VLOOKUP($N159,OFFSET(選手情報!$A$6:$M$119,AD159,0),13,FALSE)),"","/"&amp;VLOOKUP($N159,OFFSET(選手情報!$A$6:$M$119,AD159,0),13,FALSE)),"")</f>
        <v/>
      </c>
      <c r="AF159" s="127" t="str">
        <f ca="1">IF(AD159&lt;&gt;"",IF(ISNA(VLOOKUP($N159,OFFSET(選手情報!$A$6:$BD$119,AD159,0),56,FALSE)),"",VLOOKUP($N159,OFFSET(選手情報!$A$6:$BD$119,AD159,0),56,FALSE)),"")</f>
        <v/>
      </c>
      <c r="AG159" s="127" t="str">
        <f ca="1">IF(AF159&lt;&gt;"",IF(ISNA(VLOOKUP($N159,OFFSET(選手情報!$A$6:$M$119,AF159,0),13,FALSE)),"","/"&amp;VLOOKUP($N159,OFFSET(選手情報!$A$6:$M$119,AF159,0),13,FALSE)),"")</f>
        <v/>
      </c>
      <c r="AH159" s="127" t="str">
        <f ca="1">IF(AF159&lt;&gt;"",IF(ISNA(VLOOKUP($N159,OFFSET(選手情報!$A$6:$BD$119,AF159,0),56,FALSE)),"",VLOOKUP($N159,OFFSET(選手情報!$A$6:$BD$119,AF159,0),56,FALSE)),"")</f>
        <v/>
      </c>
      <c r="AI159" s="127" t="str">
        <f ca="1">IF(AH159&lt;&gt;"",IF(ISNA(VLOOKUP($N159,OFFSET(選手情報!$A$6:$M$119,AH159,0),13,FALSE)),"","/"&amp;VLOOKUP($N159,OFFSET(選手情報!$A$6:$M$119,AH159,0),13,FALSE)),"")</f>
        <v/>
      </c>
      <c r="AJ159" s="127" t="str">
        <f ca="1">IF(AH159&lt;&gt;"",IF(ISNA(VLOOKUP($N159,OFFSET(選手情報!$A$6:$BD$119,AH159,0),56,FALSE)),"",VLOOKUP($N159,OFFSET(選手情報!$A$6:$BD$119,AH159,0),56,FALSE)),"")</f>
        <v/>
      </c>
      <c r="AK159" s="127" t="str">
        <f ca="1">IF(AJ159&lt;&gt;"",IF(ISNA(VLOOKUP($N159,OFFSET(選手情報!$A$6:$M$119,AJ159,0),13,FALSE)),"","/"&amp;VLOOKUP($N159,OFFSET(選手情報!$A$6:$M$119,AJ159,0),13,FALSE)),"")</f>
        <v/>
      </c>
      <c r="AL159" s="127" t="str">
        <f ca="1">IF(AJ159&lt;&gt;"",IF(ISNA(VLOOKUP($N159,OFFSET(選手情報!$A$6:$BD$119,AJ159,0),56,FALSE)),"",VLOOKUP($N159,OFFSET(選手情報!$A$6:$BD$119,AJ159,0),56,FALSE)),"")</f>
        <v/>
      </c>
      <c r="AM159" s="127" t="str">
        <f ca="1">IF(AL159&lt;&gt;"",IF(ISNA(VLOOKUP($N159,OFFSET(選手情報!$A$6:$M$119,AL159,0),13,FALSE)),"","/"&amp;VLOOKUP($N159,OFFSET(選手情報!$A$6:$M$119,AL159,0),13,FALSE)),"")</f>
        <v/>
      </c>
      <c r="AN159" s="127" t="str">
        <f ca="1">IF(AL159&lt;&gt;"",IF(ISNA(VLOOKUP($N159,OFFSET(選手情報!$A$6:$BD$119,AL159,0),56,FALSE)),"",VLOOKUP($N159,OFFSET(選手情報!$A$6:$BD$119,AL159,0),56,FALSE)),"")</f>
        <v/>
      </c>
      <c r="AO159" s="127" t="str">
        <f ca="1">IF(AN159&lt;&gt;"",IF(ISNA(VLOOKUP($N159,OFFSET(選手情報!$A$6:$M$119,AN159,0),13,FALSE)),"","/"&amp;VLOOKUP($N159,OFFSET(選手情報!$A$6:$M$119,AN159,0),13,FALSE)),"")</f>
        <v/>
      </c>
      <c r="AP159" s="127" t="str">
        <f ca="1">IF(AN159&lt;&gt;"",IF(ISNA(VLOOKUP($N159,OFFSET(選手情報!$A$6:$BD$119,AN159,0),56,FALSE)),"",VLOOKUP($N159,OFFSET(選手情報!$A$6:$BD$119,AN159,0),56,FALSE)),"")</f>
        <v/>
      </c>
      <c r="AQ159" s="127" t="str">
        <f ca="1">IF(AP159&lt;&gt;"",IF(ISNA(VLOOKUP($N159,OFFSET(選手情報!$A$6:$M$119,AP159,0),13,FALSE)),"","/"&amp;VLOOKUP($N159,OFFSET(選手情報!$A$6:$M$119,AP159,0),13,FALSE)),"")</f>
        <v/>
      </c>
      <c r="AR159" s="127" t="str">
        <f ca="1">IF(AP159&lt;&gt;"",IF(ISNA(VLOOKUP($N159,OFFSET(選手情報!$A$6:$BD$119,AP159,0),56,FALSE)),"",VLOOKUP($N159,OFFSET(選手情報!$A$6:$BD$119,AP159,0),56,FALSE)),"")</f>
        <v/>
      </c>
      <c r="AS159" s="127" t="str">
        <f ca="1">IF(AR159&lt;&gt;"",IF(ISNA(VLOOKUP($N159,OFFSET(選手情報!$A$6:$M$119,AR159,0),13,FALSE)),"","/"&amp;VLOOKUP($N159,OFFSET(選手情報!$A$6:$M$119,AR159,0),13,FALSE)),"")</f>
        <v/>
      </c>
      <c r="AT159" s="127" t="str">
        <f ca="1">IF(AR159&lt;&gt;"",IF(ISNA(VLOOKUP($N159,OFFSET(選手情報!$A$6:$BD$119,AR159,0),56,FALSE)),"",VLOOKUP($N159,OFFSET(選手情報!$A$6:$BD$119,AR159,0),56,FALSE)),"")</f>
        <v/>
      </c>
      <c r="AU159" s="127" t="str">
        <f ca="1">IF(AT159&lt;&gt;"",IF(ISNA(VLOOKUP($N159,OFFSET(選手情報!$A$6:$M$119,AT159,0),13,FALSE)),"","/"&amp;VLOOKUP($N159,OFFSET(選手情報!$A$6:$M$119,AT159,0),13,FALSE)),"")</f>
        <v/>
      </c>
      <c r="AV159" s="127" t="str">
        <f ca="1">IF(AT159&lt;&gt;"",IF(ISNA(VLOOKUP($N159,OFFSET(選手情報!$A$6:$BD$119,AT159,0),56,FALSE)),"",VLOOKUP($N159,OFFSET(選手情報!$A$6:$BD$119,AT159,0),56,FALSE)),"")</f>
        <v/>
      </c>
      <c r="AW159" s="127" t="str">
        <f ca="1">IF(AV159&lt;&gt;"",IF(ISNA(VLOOKUP($N159,OFFSET(選手情報!$A$6:$M$119,AV159,0),13,FALSE)),"","/"&amp;VLOOKUP($N159,OFFSET(選手情報!$A$6:$M$119,AV159,0),13,FALSE)),"")</f>
        <v/>
      </c>
      <c r="AX159" s="127" t="str">
        <f ca="1">IF(AV159&lt;&gt;"",IF(ISNA(VLOOKUP($N159,OFFSET(選手情報!$A$6:$BD$119,AV159,0),56,FALSE)),"",VLOOKUP($N159,OFFSET(選手情報!$A$6:$BD$119,AV159,0),56,FALSE)),"")</f>
        <v/>
      </c>
      <c r="AY159" s="127" t="str">
        <f ca="1">IF(AX159&lt;&gt;"",IF(ISNA(VLOOKUP($N159,OFFSET(選手情報!$A$6:$M$119,AX159,0),13,FALSE)),"","/"&amp;VLOOKUP($N159,OFFSET(選手情報!$A$6:$M$119,AX159,0),13,FALSE)),"")</f>
        <v/>
      </c>
      <c r="AZ159" s="127" t="str">
        <f ca="1">IF(AX159&lt;&gt;"",IF(ISNA(VLOOKUP($N159,OFFSET(選手情報!$A$6:$BD$119,AX159,0),56,FALSE)),"",VLOOKUP($N159,OFFSET(選手情報!$A$6:$BD$119,AX159,0),56,FALSE)),"")</f>
        <v/>
      </c>
      <c r="BA159" s="127" t="str">
        <f ca="1">IF(AZ159&lt;&gt;"",IF(ISNA(VLOOKUP($N159,OFFSET(選手情報!$A$6:$M$119,AZ159,0),13,FALSE)),"","/"&amp;VLOOKUP($N159,OFFSET(選手情報!$A$6:$M$119,AZ159,0),13,FALSE)),"")</f>
        <v/>
      </c>
      <c r="BB159" s="127" t="str">
        <f ca="1">IF(AZ159&lt;&gt;"",IF(ISNA(VLOOKUP($N159,OFFSET(選手情報!$A$6:$BD$119,AZ159,0),56,FALSE)),"",VLOOKUP($N159,OFFSET(選手情報!$A$6:$BD$119,AZ159,0),56,FALSE)),"")</f>
        <v/>
      </c>
      <c r="BC159" s="127" t="str">
        <f ca="1">IF(BB159&lt;&gt;"",IF(ISNA(VLOOKUP($N159,OFFSET(選手情報!$A$6:$M$119,BB159,0),13,FALSE)),"","/"&amp;VLOOKUP($N159,OFFSET(選手情報!$A$6:$M$119,BB159,0),13,FALSE)),"")</f>
        <v/>
      </c>
      <c r="BD159" s="127" t="str">
        <f ca="1">IF(BB159&lt;&gt;"",IF(ISNA(VLOOKUP($N159,OFFSET(選手情報!$A$6:$BD$119,BB159,0),56,FALSE)),"",VLOOKUP($N159,OFFSET(選手情報!$A$6:$BD$119,BB159,0),56,FALSE)),"")</f>
        <v/>
      </c>
      <c r="BE159" s="127" t="str">
        <f ca="1">IF(BD159&lt;&gt;"",IF(ISNA(VLOOKUP($N159,OFFSET(選手情報!$A$6:$M$119,BD159,0),13,FALSE)),"","/"&amp;VLOOKUP($N159,OFFSET(選手情報!$A$6:$M$119,BD159,0),13,FALSE)),"")</f>
        <v/>
      </c>
      <c r="BF159" s="127" t="str">
        <f ca="1">IF(BD159&lt;&gt;"",IF(ISNA(VLOOKUP($N159,OFFSET(選手情報!$A$6:$BD$119,BD159,0),56,FALSE)),"",VLOOKUP($N159,OFFSET(選手情報!$A$6:$BD$119,BD159,0),56,FALSE)),"")</f>
        <v/>
      </c>
      <c r="BG159" s="127" t="str">
        <f ca="1">IF(BF159&lt;&gt;"",IF(ISNA(VLOOKUP($N159,OFFSET(選手情報!$A$6:$M$119,BF159,0),13,FALSE)),"","/"&amp;VLOOKUP($N159,OFFSET(選手情報!$A$6:$M$119,BF159,0),13,FALSE)),"")</f>
        <v/>
      </c>
      <c r="BH159" s="127" t="str">
        <f ca="1">IF(BF159&lt;&gt;"",IF(ISNA(VLOOKUP($N159,OFFSET(選手情報!$A$6:$BD$119,BF159,0),56,FALSE)),"",VLOOKUP($N159,OFFSET(選手情報!$A$6:$BD$119,BF159,0),56,FALSE)),"")</f>
        <v/>
      </c>
      <c r="BI159" s="127" t="str">
        <f ca="1">IF(BH159&lt;&gt;"",IF(ISNA(VLOOKUP($N159,OFFSET(選手情報!$A$6:$M$119,BH159,0),13,FALSE)),"","/"&amp;VLOOKUP($N159,OFFSET(選手情報!$A$6:$M$119,BH159,0),13,FALSE)),"")</f>
        <v/>
      </c>
    </row>
    <row r="160" spans="1:61" s="127" customFormat="1" ht="12.6" customHeight="1">
      <c r="A160" s="128" t="str">
        <f>IF(ISNA(VLOOKUP($C$2&amp;N160,選手データ!A:H,3,FALSE)),"",IF(M160&lt;&gt;M153,VLOOKUP($C$2&amp;N160,選手データ!A:H,3,FALSE),""))</f>
        <v/>
      </c>
      <c r="B160" s="129" t="str">
        <f>IF(A160&lt;&gt;"",VLOOKUP($C$2&amp;N160,選手データ!A:H,4,FALSE),"")</f>
        <v/>
      </c>
      <c r="C160" s="129" t="str">
        <f>IF(A160&lt;&gt;"",VLOOKUP($C$2&amp;N160,選手データ!A:H,5,FALSE),"")</f>
        <v/>
      </c>
      <c r="D160" s="129" t="str">
        <f>IF(A160&lt;&gt;"",VLOOKUP($C$2&amp;N160,選手データ!A:H,6,FALSE),"")</f>
        <v/>
      </c>
      <c r="E160" s="129" t="str">
        <f>IF(A160&lt;&gt;"",VLOOKUP($C$2&amp;N160,選手データ!A:H,7,FALSE),"")</f>
        <v/>
      </c>
      <c r="F160" s="130" t="str">
        <f>IF(A160&lt;&gt;"",VLOOKUP($C$2&amp;N160,選手データ!A:H,8,FALSE),"")</f>
        <v/>
      </c>
      <c r="G160" s="130" t="str">
        <f>IF(F160&lt;&gt;"",IF(DATEDIF(F160,設定!$B$12,"Y")&lt;20,"〇",""),"")</f>
        <v/>
      </c>
      <c r="H160" s="131" t="str">
        <f t="shared" ca="1" si="19"/>
        <v/>
      </c>
      <c r="I160" s="132" t="str">
        <f t="shared" ca="1" si="20"/>
        <v/>
      </c>
      <c r="J160" s="131" t="str">
        <f t="shared" ca="1" si="21"/>
        <v/>
      </c>
      <c r="K160" s="130" t="str">
        <f>IF(A160&lt;&gt;"",IF(COUNTIF(リレーチーム情報!$B$17:$B$22,A160&amp;E160)=1,"〇",""),"")</f>
        <v/>
      </c>
      <c r="L160" s="133" t="str">
        <f>IF(A160&lt;&gt;"",IF(COUNTIF(リレーチーム情報!$B$23:$B$28,A160&amp;E160)=1,"〇",""),"")</f>
        <v/>
      </c>
      <c r="M160" s="127">
        <f>IF(学校情報!$A$4&lt;&gt;"",0,IF(S159=0,MAX($M$109:M159)+1,M159))</f>
        <v>0</v>
      </c>
      <c r="N160" s="127" t="str">
        <f>IF(M160&lt;&gt;0,VLOOKUP(M160,選手情報!BI:BJ,2,FALSE),"")</f>
        <v/>
      </c>
      <c r="O160" s="127" t="str">
        <f ca="1">IF(M160&lt;&gt;0,VLOOKUP(N160,OFFSET(選手情報!$A$6:$W$119,IF(M160&lt;&gt;M159,0,R159),0),13,FALSE),"")</f>
        <v/>
      </c>
      <c r="P160" s="127" t="str">
        <f ca="1">IF(M160&lt;&gt;0,VLOOKUP(N160,OFFSET(選手情報!$A$6:$W$119,IF(M160&lt;&gt;M159,0,R159),0),16,FALSE),"")</f>
        <v/>
      </c>
      <c r="Q160" s="127" t="str">
        <f ca="1">IF(M160&lt;&gt;0,VLOOKUP(N160,OFFSET(選手情報!$A$6:$W$119,IF(M160&lt;&gt;M159,0,R159),0),21,FALSE),"")</f>
        <v/>
      </c>
      <c r="R160" s="127">
        <f ca="1">IF(M160&lt;&gt;0,VLOOKUP(N160,OFFSET(選手情報!$A$6:$BD$119,IF(M160&lt;&gt;M159,0,R159),0),56,FALSE),0)</f>
        <v>0</v>
      </c>
      <c r="S160" s="127">
        <f ca="1">IF(M160&lt;&gt;0,IF(ISNA(R160),0,COUNTIF(OFFSET(選手情報!$A$6:$A$119,R160,0),N160)),0)</f>
        <v>0</v>
      </c>
      <c r="U160" s="127">
        <f>IF(ISNA(N160),0,IF(N160&lt;&gt;N153,1,0))</f>
        <v>0</v>
      </c>
      <c r="V160" s="127">
        <f t="shared" ca="1" si="17"/>
        <v>1</v>
      </c>
      <c r="W160" s="127">
        <f t="shared" ca="1" si="12"/>
        <v>0</v>
      </c>
      <c r="X160" s="127" t="str">
        <f t="shared" ca="1" si="18"/>
        <v/>
      </c>
      <c r="Y160" s="127" t="str">
        <f>IF($A160&lt;&gt;"",IF(ISNA(VLOOKUP($N160,選手情報!$A$6:$M$119,13,FALSE)),"","/"&amp;VLOOKUP($N160,選手情報!$A$6:$M$119,13,FALSE)),"")</f>
        <v/>
      </c>
      <c r="Z160" s="127" t="str">
        <f ca="1">IF(Y160&lt;&gt;"",IF(ISNA(VLOOKUP($N160,OFFSET(選手情報!$A$6:$BD$119,0,0),56,FALSE)),"",VLOOKUP($N160,OFFSET(選手情報!$A$6:$BD$119,0,0),56,FALSE)),"")</f>
        <v/>
      </c>
      <c r="AA160" s="127" t="str">
        <f ca="1">IF(Z160&lt;&gt;"",IF(ISNA(VLOOKUP($N160,OFFSET(選手情報!$A$6:$M$119,Z160,0),13,FALSE)),"","/"&amp;VLOOKUP($N160,OFFSET(選手情報!$A$6:$M$119,Z160,0),13,FALSE)),"")</f>
        <v/>
      </c>
      <c r="AB160" s="127" t="str">
        <f ca="1">IF(Z160&lt;&gt;"",IF(ISNA(VLOOKUP($N160,OFFSET(選手情報!$A$6:$BD$119,Z160,0),56,FALSE)),"",VLOOKUP($N160,OFFSET(選手情報!$A$6:$BD$119,Z160,0),56,FALSE)),"")</f>
        <v/>
      </c>
      <c r="AC160" s="127" t="str">
        <f ca="1">IF(AB160&lt;&gt;"",IF(ISNA(VLOOKUP($N160,OFFSET(選手情報!$A$6:$M$119,AB160,0),13,FALSE)),"","/"&amp;VLOOKUP($N160,OFFSET(選手情報!$A$6:$M$119,AB160,0),13,FALSE)),"")</f>
        <v/>
      </c>
      <c r="AD160" s="127" t="str">
        <f ca="1">IF(AB160&lt;&gt;"",IF(ISNA(VLOOKUP($N160,OFFSET(選手情報!$A$6:$BD$119,AB160,0),56,FALSE)),"",VLOOKUP($N160,OFFSET(選手情報!$A$6:$BD$119,AB160,0),56,FALSE)),"")</f>
        <v/>
      </c>
      <c r="AE160" s="127" t="str">
        <f ca="1">IF(AD160&lt;&gt;"",IF(ISNA(VLOOKUP($N160,OFFSET(選手情報!$A$6:$M$119,AD160,0),13,FALSE)),"","/"&amp;VLOOKUP($N160,OFFSET(選手情報!$A$6:$M$119,AD160,0),13,FALSE)),"")</f>
        <v/>
      </c>
      <c r="AF160" s="127" t="str">
        <f ca="1">IF(AD160&lt;&gt;"",IF(ISNA(VLOOKUP($N160,OFFSET(選手情報!$A$6:$BD$119,AD160,0),56,FALSE)),"",VLOOKUP($N160,OFFSET(選手情報!$A$6:$BD$119,AD160,0),56,FALSE)),"")</f>
        <v/>
      </c>
      <c r="AG160" s="127" t="str">
        <f ca="1">IF(AF160&lt;&gt;"",IF(ISNA(VLOOKUP($N160,OFFSET(選手情報!$A$6:$M$119,AF160,0),13,FALSE)),"","/"&amp;VLOOKUP($N160,OFFSET(選手情報!$A$6:$M$119,AF160,0),13,FALSE)),"")</f>
        <v/>
      </c>
      <c r="AH160" s="127" t="str">
        <f ca="1">IF(AF160&lt;&gt;"",IF(ISNA(VLOOKUP($N160,OFFSET(選手情報!$A$6:$BD$119,AF160,0),56,FALSE)),"",VLOOKUP($N160,OFFSET(選手情報!$A$6:$BD$119,AF160,0),56,FALSE)),"")</f>
        <v/>
      </c>
      <c r="AI160" s="127" t="str">
        <f ca="1">IF(AH160&lt;&gt;"",IF(ISNA(VLOOKUP($N160,OFFSET(選手情報!$A$6:$M$119,AH160,0),13,FALSE)),"","/"&amp;VLOOKUP($N160,OFFSET(選手情報!$A$6:$M$119,AH160,0),13,FALSE)),"")</f>
        <v/>
      </c>
      <c r="AJ160" s="127" t="str">
        <f ca="1">IF(AH160&lt;&gt;"",IF(ISNA(VLOOKUP($N160,OFFSET(選手情報!$A$6:$BD$119,AH160,0),56,FALSE)),"",VLOOKUP($N160,OFFSET(選手情報!$A$6:$BD$119,AH160,0),56,FALSE)),"")</f>
        <v/>
      </c>
      <c r="AK160" s="127" t="str">
        <f ca="1">IF(AJ160&lt;&gt;"",IF(ISNA(VLOOKUP($N160,OFFSET(選手情報!$A$6:$M$119,AJ160,0),13,FALSE)),"","/"&amp;VLOOKUP($N160,OFFSET(選手情報!$A$6:$M$119,AJ160,0),13,FALSE)),"")</f>
        <v/>
      </c>
      <c r="AL160" s="127" t="str">
        <f ca="1">IF(AJ160&lt;&gt;"",IF(ISNA(VLOOKUP($N160,OFFSET(選手情報!$A$6:$BD$119,AJ160,0),56,FALSE)),"",VLOOKUP($N160,OFFSET(選手情報!$A$6:$BD$119,AJ160,0),56,FALSE)),"")</f>
        <v/>
      </c>
      <c r="AM160" s="127" t="str">
        <f ca="1">IF(AL160&lt;&gt;"",IF(ISNA(VLOOKUP($N160,OFFSET(選手情報!$A$6:$M$119,AL160,0),13,FALSE)),"","/"&amp;VLOOKUP($N160,OFFSET(選手情報!$A$6:$M$119,AL160,0),13,FALSE)),"")</f>
        <v/>
      </c>
      <c r="AN160" s="127" t="str">
        <f ca="1">IF(AL160&lt;&gt;"",IF(ISNA(VLOOKUP($N160,OFFSET(選手情報!$A$6:$BD$119,AL160,0),56,FALSE)),"",VLOOKUP($N160,OFFSET(選手情報!$A$6:$BD$119,AL160,0),56,FALSE)),"")</f>
        <v/>
      </c>
      <c r="AO160" s="127" t="str">
        <f ca="1">IF(AN160&lt;&gt;"",IF(ISNA(VLOOKUP($N160,OFFSET(選手情報!$A$6:$M$119,AN160,0),13,FALSE)),"","/"&amp;VLOOKUP($N160,OFFSET(選手情報!$A$6:$M$119,AN160,0),13,FALSE)),"")</f>
        <v/>
      </c>
      <c r="AP160" s="127" t="str">
        <f ca="1">IF(AN160&lt;&gt;"",IF(ISNA(VLOOKUP($N160,OFFSET(選手情報!$A$6:$BD$119,AN160,0),56,FALSE)),"",VLOOKUP($N160,OFFSET(選手情報!$A$6:$BD$119,AN160,0),56,FALSE)),"")</f>
        <v/>
      </c>
      <c r="AQ160" s="127" t="str">
        <f ca="1">IF(AP160&lt;&gt;"",IF(ISNA(VLOOKUP($N160,OFFSET(選手情報!$A$6:$M$119,AP160,0),13,FALSE)),"","/"&amp;VLOOKUP($N160,OFFSET(選手情報!$A$6:$M$119,AP160,0),13,FALSE)),"")</f>
        <v/>
      </c>
      <c r="AR160" s="127" t="str">
        <f ca="1">IF(AP160&lt;&gt;"",IF(ISNA(VLOOKUP($N160,OFFSET(選手情報!$A$6:$BD$119,AP160,0),56,FALSE)),"",VLOOKUP($N160,OFFSET(選手情報!$A$6:$BD$119,AP160,0),56,FALSE)),"")</f>
        <v/>
      </c>
      <c r="AS160" s="127" t="str">
        <f ca="1">IF(AR160&lt;&gt;"",IF(ISNA(VLOOKUP($N160,OFFSET(選手情報!$A$6:$M$119,AR160,0),13,FALSE)),"","/"&amp;VLOOKUP($N160,OFFSET(選手情報!$A$6:$M$119,AR160,0),13,FALSE)),"")</f>
        <v/>
      </c>
      <c r="AT160" s="127" t="str">
        <f ca="1">IF(AR160&lt;&gt;"",IF(ISNA(VLOOKUP($N160,OFFSET(選手情報!$A$6:$BD$119,AR160,0),56,FALSE)),"",VLOOKUP($N160,OFFSET(選手情報!$A$6:$BD$119,AR160,0),56,FALSE)),"")</f>
        <v/>
      </c>
      <c r="AU160" s="127" t="str">
        <f ca="1">IF(AT160&lt;&gt;"",IF(ISNA(VLOOKUP($N160,OFFSET(選手情報!$A$6:$M$119,AT160,0),13,FALSE)),"","/"&amp;VLOOKUP($N160,OFFSET(選手情報!$A$6:$M$119,AT160,0),13,FALSE)),"")</f>
        <v/>
      </c>
      <c r="AV160" s="127" t="str">
        <f ca="1">IF(AT160&lt;&gt;"",IF(ISNA(VLOOKUP($N160,OFFSET(選手情報!$A$6:$BD$119,AT160,0),56,FALSE)),"",VLOOKUP($N160,OFFSET(選手情報!$A$6:$BD$119,AT160,0),56,FALSE)),"")</f>
        <v/>
      </c>
      <c r="AW160" s="127" t="str">
        <f ca="1">IF(AV160&lt;&gt;"",IF(ISNA(VLOOKUP($N160,OFFSET(選手情報!$A$6:$M$119,AV160,0),13,FALSE)),"","/"&amp;VLOOKUP($N160,OFFSET(選手情報!$A$6:$M$119,AV160,0),13,FALSE)),"")</f>
        <v/>
      </c>
      <c r="AX160" s="127" t="str">
        <f ca="1">IF(AV160&lt;&gt;"",IF(ISNA(VLOOKUP($N160,OFFSET(選手情報!$A$6:$BD$119,AV160,0),56,FALSE)),"",VLOOKUP($N160,OFFSET(選手情報!$A$6:$BD$119,AV160,0),56,FALSE)),"")</f>
        <v/>
      </c>
      <c r="AY160" s="127" t="str">
        <f ca="1">IF(AX160&lt;&gt;"",IF(ISNA(VLOOKUP($N160,OFFSET(選手情報!$A$6:$M$119,AX160,0),13,FALSE)),"","/"&amp;VLOOKUP($N160,OFFSET(選手情報!$A$6:$M$119,AX160,0),13,FALSE)),"")</f>
        <v/>
      </c>
      <c r="AZ160" s="127" t="str">
        <f ca="1">IF(AX160&lt;&gt;"",IF(ISNA(VLOOKUP($N160,OFFSET(選手情報!$A$6:$BD$119,AX160,0),56,FALSE)),"",VLOOKUP($N160,OFFSET(選手情報!$A$6:$BD$119,AX160,0),56,FALSE)),"")</f>
        <v/>
      </c>
      <c r="BA160" s="127" t="str">
        <f ca="1">IF(AZ160&lt;&gt;"",IF(ISNA(VLOOKUP($N160,OFFSET(選手情報!$A$6:$M$119,AZ160,0),13,FALSE)),"","/"&amp;VLOOKUP($N160,OFFSET(選手情報!$A$6:$M$119,AZ160,0),13,FALSE)),"")</f>
        <v/>
      </c>
      <c r="BB160" s="127" t="str">
        <f ca="1">IF(AZ160&lt;&gt;"",IF(ISNA(VLOOKUP($N160,OFFSET(選手情報!$A$6:$BD$119,AZ160,0),56,FALSE)),"",VLOOKUP($N160,OFFSET(選手情報!$A$6:$BD$119,AZ160,0),56,FALSE)),"")</f>
        <v/>
      </c>
      <c r="BC160" s="127" t="str">
        <f ca="1">IF(BB160&lt;&gt;"",IF(ISNA(VLOOKUP($N160,OFFSET(選手情報!$A$6:$M$119,BB160,0),13,FALSE)),"","/"&amp;VLOOKUP($N160,OFFSET(選手情報!$A$6:$M$119,BB160,0),13,FALSE)),"")</f>
        <v/>
      </c>
      <c r="BD160" s="127" t="str">
        <f ca="1">IF(BB160&lt;&gt;"",IF(ISNA(VLOOKUP($N160,OFFSET(選手情報!$A$6:$BD$119,BB160,0),56,FALSE)),"",VLOOKUP($N160,OFFSET(選手情報!$A$6:$BD$119,BB160,0),56,FALSE)),"")</f>
        <v/>
      </c>
      <c r="BE160" s="127" t="str">
        <f ca="1">IF(BD160&lt;&gt;"",IF(ISNA(VLOOKUP($N160,OFFSET(選手情報!$A$6:$M$119,BD160,0),13,FALSE)),"","/"&amp;VLOOKUP($N160,OFFSET(選手情報!$A$6:$M$119,BD160,0),13,FALSE)),"")</f>
        <v/>
      </c>
      <c r="BF160" s="127" t="str">
        <f ca="1">IF(BD160&lt;&gt;"",IF(ISNA(VLOOKUP($N160,OFFSET(選手情報!$A$6:$BD$119,BD160,0),56,FALSE)),"",VLOOKUP($N160,OFFSET(選手情報!$A$6:$BD$119,BD160,0),56,FALSE)),"")</f>
        <v/>
      </c>
      <c r="BG160" s="127" t="str">
        <f ca="1">IF(BF160&lt;&gt;"",IF(ISNA(VLOOKUP($N160,OFFSET(選手情報!$A$6:$M$119,BF160,0),13,FALSE)),"","/"&amp;VLOOKUP($N160,OFFSET(選手情報!$A$6:$M$119,BF160,0),13,FALSE)),"")</f>
        <v/>
      </c>
      <c r="BH160" s="127" t="str">
        <f ca="1">IF(BF160&lt;&gt;"",IF(ISNA(VLOOKUP($N160,OFFSET(選手情報!$A$6:$BD$119,BF160,0),56,FALSE)),"",VLOOKUP($N160,OFFSET(選手情報!$A$6:$BD$119,BF160,0),56,FALSE)),"")</f>
        <v/>
      </c>
      <c r="BI160" s="127" t="str">
        <f ca="1">IF(BH160&lt;&gt;"",IF(ISNA(VLOOKUP($N160,OFFSET(選手情報!$A$6:$M$119,BH160,0),13,FALSE)),"","/"&amp;VLOOKUP($N160,OFFSET(選手情報!$A$6:$M$119,BH160,0),13,FALSE)),"")</f>
        <v/>
      </c>
    </row>
    <row r="161" spans="1:61" s="127" customFormat="1" ht="12.6" customHeight="1">
      <c r="A161" s="128" t="str">
        <f>IF(ISNA(VLOOKUP($C$2&amp;N161,選手データ!A:H,3,FALSE)),"",IF(M161&lt;&gt;M160,VLOOKUP($C$2&amp;N161,選手データ!A:H,3,FALSE),""))</f>
        <v/>
      </c>
      <c r="B161" s="129" t="str">
        <f>IF(A161&lt;&gt;"",VLOOKUP($C$2&amp;N161,選手データ!A:H,4,FALSE),"")</f>
        <v/>
      </c>
      <c r="C161" s="129" t="str">
        <f>IF(A161&lt;&gt;"",VLOOKUP($C$2&amp;N161,選手データ!A:H,5,FALSE),"")</f>
        <v/>
      </c>
      <c r="D161" s="129" t="str">
        <f>IF(A161&lt;&gt;"",VLOOKUP($C$2&amp;N161,選手データ!A:H,6,FALSE),"")</f>
        <v/>
      </c>
      <c r="E161" s="129" t="str">
        <f>IF(A161&lt;&gt;"",VLOOKUP($C$2&amp;N161,選手データ!A:H,7,FALSE),"")</f>
        <v/>
      </c>
      <c r="F161" s="130" t="str">
        <f>IF(A161&lt;&gt;"",VLOOKUP($C$2&amp;N161,選手データ!A:H,8,FALSE),"")</f>
        <v/>
      </c>
      <c r="G161" s="130" t="str">
        <f>IF(F161&lt;&gt;"",IF(DATEDIF(F161,設定!$B$12,"Y")&lt;20,"〇",""),"")</f>
        <v/>
      </c>
      <c r="H161" s="131" t="str">
        <f t="shared" ca="1" si="19"/>
        <v/>
      </c>
      <c r="I161" s="132" t="str">
        <f t="shared" ca="1" si="20"/>
        <v/>
      </c>
      <c r="J161" s="131" t="str">
        <f t="shared" ca="1" si="21"/>
        <v/>
      </c>
      <c r="K161" s="130" t="str">
        <f>IF(A161&lt;&gt;"",IF(COUNTIF(リレーチーム情報!$B$17:$B$22,A161&amp;E161)=1,"〇",""),"")</f>
        <v/>
      </c>
      <c r="L161" s="133" t="str">
        <f>IF(A161&lt;&gt;"",IF(COUNTIF(リレーチーム情報!$B$23:$B$28,A161&amp;E161)=1,"〇",""),"")</f>
        <v/>
      </c>
      <c r="M161" s="127">
        <f>IF(学校情報!$A$4&lt;&gt;"",0,IF(S160=0,MAX($M$109:M160)+1,M160))</f>
        <v>0</v>
      </c>
      <c r="N161" s="127" t="str">
        <f>IF(M161&lt;&gt;0,VLOOKUP(M161,選手情報!BI:BJ,2,FALSE),"")</f>
        <v/>
      </c>
      <c r="O161" s="127" t="str">
        <f ca="1">IF(M161&lt;&gt;0,VLOOKUP(N161,OFFSET(選手情報!$A$6:$W$119,IF(M161&lt;&gt;M160,0,R160),0),13,FALSE),"")</f>
        <v/>
      </c>
      <c r="P161" s="127" t="str">
        <f ca="1">IF(M161&lt;&gt;0,VLOOKUP(N161,OFFSET(選手情報!$A$6:$W$119,IF(M161&lt;&gt;M160,0,R160),0),16,FALSE),"")</f>
        <v/>
      </c>
      <c r="Q161" s="127" t="str">
        <f ca="1">IF(M161&lt;&gt;0,VLOOKUP(N161,OFFSET(選手情報!$A$6:$W$119,IF(M161&lt;&gt;M160,0,R160),0),21,FALSE),"")</f>
        <v/>
      </c>
      <c r="R161" s="127">
        <f ca="1">IF(M161&lt;&gt;0,VLOOKUP(N161,OFFSET(選手情報!$A$6:$BD$119,IF(M161&lt;&gt;M160,0,R160),0),56,FALSE),0)</f>
        <v>0</v>
      </c>
      <c r="S161" s="127">
        <f ca="1">IF(M161&lt;&gt;0,IF(ISNA(R161),0,COUNTIF(OFFSET(選手情報!$A$6:$A$119,R161,0),N161)),0)</f>
        <v>0</v>
      </c>
      <c r="U161" s="127">
        <f t="shared" si="16"/>
        <v>0</v>
      </c>
      <c r="V161" s="127">
        <f t="shared" ca="1" si="17"/>
        <v>1</v>
      </c>
      <c r="W161" s="127">
        <f t="shared" ca="1" si="12"/>
        <v>0</v>
      </c>
      <c r="X161" s="127" t="str">
        <f t="shared" ca="1" si="18"/>
        <v/>
      </c>
      <c r="Y161" s="127" t="str">
        <f>IF($A161&lt;&gt;"",IF(ISNA(VLOOKUP($N161,選手情報!$A$6:$M$119,13,FALSE)),"","/"&amp;VLOOKUP($N161,選手情報!$A$6:$M$119,13,FALSE)),"")</f>
        <v/>
      </c>
      <c r="Z161" s="127" t="str">
        <f ca="1">IF(Y161&lt;&gt;"",IF(ISNA(VLOOKUP($N161,OFFSET(選手情報!$A$6:$BD$119,0,0),56,FALSE)),"",VLOOKUP($N161,OFFSET(選手情報!$A$6:$BD$119,0,0),56,FALSE)),"")</f>
        <v/>
      </c>
      <c r="AA161" s="127" t="str">
        <f ca="1">IF(Z161&lt;&gt;"",IF(ISNA(VLOOKUP($N161,OFFSET(選手情報!$A$6:$M$119,Z161,0),13,FALSE)),"","/"&amp;VLOOKUP($N161,OFFSET(選手情報!$A$6:$M$119,Z161,0),13,FALSE)),"")</f>
        <v/>
      </c>
      <c r="AB161" s="127" t="str">
        <f ca="1">IF(Z161&lt;&gt;"",IF(ISNA(VLOOKUP($N161,OFFSET(選手情報!$A$6:$BD$119,Z161,0),56,FALSE)),"",VLOOKUP($N161,OFFSET(選手情報!$A$6:$BD$119,Z161,0),56,FALSE)),"")</f>
        <v/>
      </c>
      <c r="AC161" s="127" t="str">
        <f ca="1">IF(AB161&lt;&gt;"",IF(ISNA(VLOOKUP($N161,OFFSET(選手情報!$A$6:$M$119,AB161,0),13,FALSE)),"","/"&amp;VLOOKUP($N161,OFFSET(選手情報!$A$6:$M$119,AB161,0),13,FALSE)),"")</f>
        <v/>
      </c>
      <c r="AD161" s="127" t="str">
        <f ca="1">IF(AB161&lt;&gt;"",IF(ISNA(VLOOKUP($N161,OFFSET(選手情報!$A$6:$BD$119,AB161,0),56,FALSE)),"",VLOOKUP($N161,OFFSET(選手情報!$A$6:$BD$119,AB161,0),56,FALSE)),"")</f>
        <v/>
      </c>
      <c r="AE161" s="127" t="str">
        <f ca="1">IF(AD161&lt;&gt;"",IF(ISNA(VLOOKUP($N161,OFFSET(選手情報!$A$6:$M$119,AD161,0),13,FALSE)),"","/"&amp;VLOOKUP($N161,OFFSET(選手情報!$A$6:$M$119,AD161,0),13,FALSE)),"")</f>
        <v/>
      </c>
      <c r="AF161" s="127" t="str">
        <f ca="1">IF(AD161&lt;&gt;"",IF(ISNA(VLOOKUP($N161,OFFSET(選手情報!$A$6:$BD$119,AD161,0),56,FALSE)),"",VLOOKUP($N161,OFFSET(選手情報!$A$6:$BD$119,AD161,0),56,FALSE)),"")</f>
        <v/>
      </c>
      <c r="AG161" s="127" t="str">
        <f ca="1">IF(AF161&lt;&gt;"",IF(ISNA(VLOOKUP($N161,OFFSET(選手情報!$A$6:$M$119,AF161,0),13,FALSE)),"","/"&amp;VLOOKUP($N161,OFFSET(選手情報!$A$6:$M$119,AF161,0),13,FALSE)),"")</f>
        <v/>
      </c>
      <c r="AH161" s="127" t="str">
        <f ca="1">IF(AF161&lt;&gt;"",IF(ISNA(VLOOKUP($N161,OFFSET(選手情報!$A$6:$BD$119,AF161,0),56,FALSE)),"",VLOOKUP($N161,OFFSET(選手情報!$A$6:$BD$119,AF161,0),56,FALSE)),"")</f>
        <v/>
      </c>
      <c r="AI161" s="127" t="str">
        <f ca="1">IF(AH161&lt;&gt;"",IF(ISNA(VLOOKUP($N161,OFFSET(選手情報!$A$6:$M$119,AH161,0),13,FALSE)),"","/"&amp;VLOOKUP($N161,OFFSET(選手情報!$A$6:$M$119,AH161,0),13,FALSE)),"")</f>
        <v/>
      </c>
      <c r="AJ161" s="127" t="str">
        <f ca="1">IF(AH161&lt;&gt;"",IF(ISNA(VLOOKUP($N161,OFFSET(選手情報!$A$6:$BD$119,AH161,0),56,FALSE)),"",VLOOKUP($N161,OFFSET(選手情報!$A$6:$BD$119,AH161,0),56,FALSE)),"")</f>
        <v/>
      </c>
      <c r="AK161" s="127" t="str">
        <f ca="1">IF(AJ161&lt;&gt;"",IF(ISNA(VLOOKUP($N161,OFFSET(選手情報!$A$6:$M$119,AJ161,0),13,FALSE)),"","/"&amp;VLOOKUP($N161,OFFSET(選手情報!$A$6:$M$119,AJ161,0),13,FALSE)),"")</f>
        <v/>
      </c>
      <c r="AL161" s="127" t="str">
        <f ca="1">IF(AJ161&lt;&gt;"",IF(ISNA(VLOOKUP($N161,OFFSET(選手情報!$A$6:$BD$119,AJ161,0),56,FALSE)),"",VLOOKUP($N161,OFFSET(選手情報!$A$6:$BD$119,AJ161,0),56,FALSE)),"")</f>
        <v/>
      </c>
      <c r="AM161" s="127" t="str">
        <f ca="1">IF(AL161&lt;&gt;"",IF(ISNA(VLOOKUP($N161,OFFSET(選手情報!$A$6:$M$119,AL161,0),13,FALSE)),"","/"&amp;VLOOKUP($N161,OFFSET(選手情報!$A$6:$M$119,AL161,0),13,FALSE)),"")</f>
        <v/>
      </c>
      <c r="AN161" s="127" t="str">
        <f ca="1">IF(AL161&lt;&gt;"",IF(ISNA(VLOOKUP($N161,OFFSET(選手情報!$A$6:$BD$119,AL161,0),56,FALSE)),"",VLOOKUP($N161,OFFSET(選手情報!$A$6:$BD$119,AL161,0),56,FALSE)),"")</f>
        <v/>
      </c>
      <c r="AO161" s="127" t="str">
        <f ca="1">IF(AN161&lt;&gt;"",IF(ISNA(VLOOKUP($N161,OFFSET(選手情報!$A$6:$M$119,AN161,0),13,FALSE)),"","/"&amp;VLOOKUP($N161,OFFSET(選手情報!$A$6:$M$119,AN161,0),13,FALSE)),"")</f>
        <v/>
      </c>
      <c r="AP161" s="127" t="str">
        <f ca="1">IF(AN161&lt;&gt;"",IF(ISNA(VLOOKUP($N161,OFFSET(選手情報!$A$6:$BD$119,AN161,0),56,FALSE)),"",VLOOKUP($N161,OFFSET(選手情報!$A$6:$BD$119,AN161,0),56,FALSE)),"")</f>
        <v/>
      </c>
      <c r="AQ161" s="127" t="str">
        <f ca="1">IF(AP161&lt;&gt;"",IF(ISNA(VLOOKUP($N161,OFFSET(選手情報!$A$6:$M$119,AP161,0),13,FALSE)),"","/"&amp;VLOOKUP($N161,OFFSET(選手情報!$A$6:$M$119,AP161,0),13,FALSE)),"")</f>
        <v/>
      </c>
      <c r="AR161" s="127" t="str">
        <f ca="1">IF(AP161&lt;&gt;"",IF(ISNA(VLOOKUP($N161,OFFSET(選手情報!$A$6:$BD$119,AP161,0),56,FALSE)),"",VLOOKUP($N161,OFFSET(選手情報!$A$6:$BD$119,AP161,0),56,FALSE)),"")</f>
        <v/>
      </c>
      <c r="AS161" s="127" t="str">
        <f ca="1">IF(AR161&lt;&gt;"",IF(ISNA(VLOOKUP($N161,OFFSET(選手情報!$A$6:$M$119,AR161,0),13,FALSE)),"","/"&amp;VLOOKUP($N161,OFFSET(選手情報!$A$6:$M$119,AR161,0),13,FALSE)),"")</f>
        <v/>
      </c>
      <c r="AT161" s="127" t="str">
        <f ca="1">IF(AR161&lt;&gt;"",IF(ISNA(VLOOKUP($N161,OFFSET(選手情報!$A$6:$BD$119,AR161,0),56,FALSE)),"",VLOOKUP($N161,OFFSET(選手情報!$A$6:$BD$119,AR161,0),56,FALSE)),"")</f>
        <v/>
      </c>
      <c r="AU161" s="127" t="str">
        <f ca="1">IF(AT161&lt;&gt;"",IF(ISNA(VLOOKUP($N161,OFFSET(選手情報!$A$6:$M$119,AT161,0),13,FALSE)),"","/"&amp;VLOOKUP($N161,OFFSET(選手情報!$A$6:$M$119,AT161,0),13,FALSE)),"")</f>
        <v/>
      </c>
      <c r="AV161" s="127" t="str">
        <f ca="1">IF(AT161&lt;&gt;"",IF(ISNA(VLOOKUP($N161,OFFSET(選手情報!$A$6:$BD$119,AT161,0),56,FALSE)),"",VLOOKUP($N161,OFFSET(選手情報!$A$6:$BD$119,AT161,0),56,FALSE)),"")</f>
        <v/>
      </c>
      <c r="AW161" s="127" t="str">
        <f ca="1">IF(AV161&lt;&gt;"",IF(ISNA(VLOOKUP($N161,OFFSET(選手情報!$A$6:$M$119,AV161,0),13,FALSE)),"","/"&amp;VLOOKUP($N161,OFFSET(選手情報!$A$6:$M$119,AV161,0),13,FALSE)),"")</f>
        <v/>
      </c>
      <c r="AX161" s="127" t="str">
        <f ca="1">IF(AV161&lt;&gt;"",IF(ISNA(VLOOKUP($N161,OFFSET(選手情報!$A$6:$BD$119,AV161,0),56,FALSE)),"",VLOOKUP($N161,OFFSET(選手情報!$A$6:$BD$119,AV161,0),56,FALSE)),"")</f>
        <v/>
      </c>
      <c r="AY161" s="127" t="str">
        <f ca="1">IF(AX161&lt;&gt;"",IF(ISNA(VLOOKUP($N161,OFFSET(選手情報!$A$6:$M$119,AX161,0),13,FALSE)),"","/"&amp;VLOOKUP($N161,OFFSET(選手情報!$A$6:$M$119,AX161,0),13,FALSE)),"")</f>
        <v/>
      </c>
      <c r="AZ161" s="127" t="str">
        <f ca="1">IF(AX161&lt;&gt;"",IF(ISNA(VLOOKUP($N161,OFFSET(選手情報!$A$6:$BD$119,AX161,0),56,FALSE)),"",VLOOKUP($N161,OFFSET(選手情報!$A$6:$BD$119,AX161,0),56,FALSE)),"")</f>
        <v/>
      </c>
      <c r="BA161" s="127" t="str">
        <f ca="1">IF(AZ161&lt;&gt;"",IF(ISNA(VLOOKUP($N161,OFFSET(選手情報!$A$6:$M$119,AZ161,0),13,FALSE)),"","/"&amp;VLOOKUP($N161,OFFSET(選手情報!$A$6:$M$119,AZ161,0),13,FALSE)),"")</f>
        <v/>
      </c>
      <c r="BB161" s="127" t="str">
        <f ca="1">IF(AZ161&lt;&gt;"",IF(ISNA(VLOOKUP($N161,OFFSET(選手情報!$A$6:$BD$119,AZ161,0),56,FALSE)),"",VLOOKUP($N161,OFFSET(選手情報!$A$6:$BD$119,AZ161,0),56,FALSE)),"")</f>
        <v/>
      </c>
      <c r="BC161" s="127" t="str">
        <f ca="1">IF(BB161&lt;&gt;"",IF(ISNA(VLOOKUP($N161,OFFSET(選手情報!$A$6:$M$119,BB161,0),13,FALSE)),"","/"&amp;VLOOKUP($N161,OFFSET(選手情報!$A$6:$M$119,BB161,0),13,FALSE)),"")</f>
        <v/>
      </c>
      <c r="BD161" s="127" t="str">
        <f ca="1">IF(BB161&lt;&gt;"",IF(ISNA(VLOOKUP($N161,OFFSET(選手情報!$A$6:$BD$119,BB161,0),56,FALSE)),"",VLOOKUP($N161,OFFSET(選手情報!$A$6:$BD$119,BB161,0),56,FALSE)),"")</f>
        <v/>
      </c>
      <c r="BE161" s="127" t="str">
        <f ca="1">IF(BD161&lt;&gt;"",IF(ISNA(VLOOKUP($N161,OFFSET(選手情報!$A$6:$M$119,BD161,0),13,FALSE)),"","/"&amp;VLOOKUP($N161,OFFSET(選手情報!$A$6:$M$119,BD161,0),13,FALSE)),"")</f>
        <v/>
      </c>
      <c r="BF161" s="127" t="str">
        <f ca="1">IF(BD161&lt;&gt;"",IF(ISNA(VLOOKUP($N161,OFFSET(選手情報!$A$6:$BD$119,BD161,0),56,FALSE)),"",VLOOKUP($N161,OFFSET(選手情報!$A$6:$BD$119,BD161,0),56,FALSE)),"")</f>
        <v/>
      </c>
      <c r="BG161" s="127" t="str">
        <f ca="1">IF(BF161&lt;&gt;"",IF(ISNA(VLOOKUP($N161,OFFSET(選手情報!$A$6:$M$119,BF161,0),13,FALSE)),"","/"&amp;VLOOKUP($N161,OFFSET(選手情報!$A$6:$M$119,BF161,0),13,FALSE)),"")</f>
        <v/>
      </c>
      <c r="BH161" s="127" t="str">
        <f ca="1">IF(BF161&lt;&gt;"",IF(ISNA(VLOOKUP($N161,OFFSET(選手情報!$A$6:$BD$119,BF161,0),56,FALSE)),"",VLOOKUP($N161,OFFSET(選手情報!$A$6:$BD$119,BF161,0),56,FALSE)),"")</f>
        <v/>
      </c>
      <c r="BI161" s="127" t="str">
        <f ca="1">IF(BH161&lt;&gt;"",IF(ISNA(VLOOKUP($N161,OFFSET(選手情報!$A$6:$M$119,BH161,0),13,FALSE)),"","/"&amp;VLOOKUP($N161,OFFSET(選手情報!$A$6:$M$119,BH161,0),13,FALSE)),"")</f>
        <v/>
      </c>
    </row>
    <row r="162" spans="1:61" s="127" customFormat="1" ht="12.6" customHeight="1">
      <c r="A162" s="128" t="str">
        <f>IF(ISNA(VLOOKUP($C$2&amp;N162,選手データ!A:H,3,FALSE)),"",IF(M162&lt;&gt;M161,VLOOKUP($C$2&amp;N162,選手データ!A:H,3,FALSE),""))</f>
        <v/>
      </c>
      <c r="B162" s="129" t="str">
        <f>IF(A162&lt;&gt;"",VLOOKUP($C$2&amp;N162,選手データ!A:H,4,FALSE),"")</f>
        <v/>
      </c>
      <c r="C162" s="129" t="str">
        <f>IF(A162&lt;&gt;"",VLOOKUP($C$2&amp;N162,選手データ!A:H,5,FALSE),"")</f>
        <v/>
      </c>
      <c r="D162" s="129" t="str">
        <f>IF(A162&lt;&gt;"",VLOOKUP($C$2&amp;N162,選手データ!A:H,6,FALSE),"")</f>
        <v/>
      </c>
      <c r="E162" s="129" t="str">
        <f>IF(A162&lt;&gt;"",VLOOKUP($C$2&amp;N162,選手データ!A:H,7,FALSE),"")</f>
        <v/>
      </c>
      <c r="F162" s="130" t="str">
        <f>IF(A162&lt;&gt;"",VLOOKUP($C$2&amp;N162,選手データ!A:H,8,FALSE),"")</f>
        <v/>
      </c>
      <c r="G162" s="130" t="str">
        <f>IF(F162&lt;&gt;"",IF(DATEDIF(F162,設定!$B$12,"Y")&lt;20,"〇",""),"")</f>
        <v/>
      </c>
      <c r="H162" s="131" t="str">
        <f t="shared" ca="1" si="19"/>
        <v/>
      </c>
      <c r="I162" s="132" t="str">
        <f t="shared" ca="1" si="20"/>
        <v/>
      </c>
      <c r="J162" s="131" t="str">
        <f t="shared" ca="1" si="21"/>
        <v/>
      </c>
      <c r="K162" s="130" t="str">
        <f>IF(A162&lt;&gt;"",IF(COUNTIF(リレーチーム情報!$B$17:$B$22,A162&amp;E162)=1,"〇",""),"")</f>
        <v/>
      </c>
      <c r="L162" s="133" t="str">
        <f>IF(A162&lt;&gt;"",IF(COUNTIF(リレーチーム情報!$B$23:$B$28,A162&amp;E162)=1,"〇",""),"")</f>
        <v/>
      </c>
      <c r="M162" s="127">
        <f>IF(学校情報!$A$4&lt;&gt;"",0,IF(S161=0,MAX($M$109:M161)+1,M161))</f>
        <v>0</v>
      </c>
      <c r="N162" s="127" t="str">
        <f>IF(M162&lt;&gt;0,VLOOKUP(M162,選手情報!BI:BJ,2,FALSE),"")</f>
        <v/>
      </c>
      <c r="O162" s="127" t="str">
        <f ca="1">IF(M162&lt;&gt;0,VLOOKUP(N162,OFFSET(選手情報!$A$6:$W$119,IF(M162&lt;&gt;M161,0,R161),0),13,FALSE),"")</f>
        <v/>
      </c>
      <c r="P162" s="127" t="str">
        <f ca="1">IF(M162&lt;&gt;0,VLOOKUP(N162,OFFSET(選手情報!$A$6:$W$119,IF(M162&lt;&gt;M161,0,R161),0),16,FALSE),"")</f>
        <v/>
      </c>
      <c r="Q162" s="127" t="str">
        <f ca="1">IF(M162&lt;&gt;0,VLOOKUP(N162,OFFSET(選手情報!$A$6:$W$119,IF(M162&lt;&gt;M161,0,R161),0),21,FALSE),"")</f>
        <v/>
      </c>
      <c r="R162" s="127">
        <f ca="1">IF(M162&lt;&gt;0,VLOOKUP(N162,OFFSET(選手情報!$A$6:$BD$119,IF(M162&lt;&gt;M161,0,R161),0),56,FALSE),0)</f>
        <v>0</v>
      </c>
      <c r="S162" s="127">
        <f ca="1">IF(M162&lt;&gt;0,IF(ISNA(R162),0,COUNTIF(OFFSET(選手情報!$A$6:$A$119,R162,0),N162)),0)</f>
        <v>0</v>
      </c>
      <c r="U162" s="127">
        <f t="shared" si="16"/>
        <v>0</v>
      </c>
      <c r="V162" s="127">
        <f t="shared" ca="1" si="17"/>
        <v>1</v>
      </c>
      <c r="W162" s="127">
        <f t="shared" ca="1" si="12"/>
        <v>0</v>
      </c>
      <c r="X162" s="127" t="str">
        <f t="shared" ca="1" si="18"/>
        <v/>
      </c>
      <c r="Y162" s="127" t="str">
        <f>IF($A162&lt;&gt;"",IF(ISNA(VLOOKUP($N162,選手情報!$A$6:$M$119,13,FALSE)),"","/"&amp;VLOOKUP($N162,選手情報!$A$6:$M$119,13,FALSE)),"")</f>
        <v/>
      </c>
      <c r="Z162" s="127" t="str">
        <f ca="1">IF(Y162&lt;&gt;"",IF(ISNA(VLOOKUP($N162,OFFSET(選手情報!$A$6:$BD$119,0,0),56,FALSE)),"",VLOOKUP($N162,OFFSET(選手情報!$A$6:$BD$119,0,0),56,FALSE)),"")</f>
        <v/>
      </c>
      <c r="AA162" s="127" t="str">
        <f ca="1">IF(Z162&lt;&gt;"",IF(ISNA(VLOOKUP($N162,OFFSET(選手情報!$A$6:$M$119,Z162,0),13,FALSE)),"","/"&amp;VLOOKUP($N162,OFFSET(選手情報!$A$6:$M$119,Z162,0),13,FALSE)),"")</f>
        <v/>
      </c>
      <c r="AB162" s="127" t="str">
        <f ca="1">IF(Z162&lt;&gt;"",IF(ISNA(VLOOKUP($N162,OFFSET(選手情報!$A$6:$BD$119,Z162,0),56,FALSE)),"",VLOOKUP($N162,OFFSET(選手情報!$A$6:$BD$119,Z162,0),56,FALSE)),"")</f>
        <v/>
      </c>
      <c r="AC162" s="127" t="str">
        <f ca="1">IF(AB162&lt;&gt;"",IF(ISNA(VLOOKUP($N162,OFFSET(選手情報!$A$6:$M$119,AB162,0),13,FALSE)),"","/"&amp;VLOOKUP($N162,OFFSET(選手情報!$A$6:$M$119,AB162,0),13,FALSE)),"")</f>
        <v/>
      </c>
      <c r="AD162" s="127" t="str">
        <f ca="1">IF(AB162&lt;&gt;"",IF(ISNA(VLOOKUP($N162,OFFSET(選手情報!$A$6:$BD$119,AB162,0),56,FALSE)),"",VLOOKUP($N162,OFFSET(選手情報!$A$6:$BD$119,AB162,0),56,FALSE)),"")</f>
        <v/>
      </c>
      <c r="AE162" s="127" t="str">
        <f ca="1">IF(AD162&lt;&gt;"",IF(ISNA(VLOOKUP($N162,OFFSET(選手情報!$A$6:$M$119,AD162,0),13,FALSE)),"","/"&amp;VLOOKUP($N162,OFFSET(選手情報!$A$6:$M$119,AD162,0),13,FALSE)),"")</f>
        <v/>
      </c>
      <c r="AF162" s="127" t="str">
        <f ca="1">IF(AD162&lt;&gt;"",IF(ISNA(VLOOKUP($N162,OFFSET(選手情報!$A$6:$BD$119,AD162,0),56,FALSE)),"",VLOOKUP($N162,OFFSET(選手情報!$A$6:$BD$119,AD162,0),56,FALSE)),"")</f>
        <v/>
      </c>
      <c r="AG162" s="127" t="str">
        <f ca="1">IF(AF162&lt;&gt;"",IF(ISNA(VLOOKUP($N162,OFFSET(選手情報!$A$6:$M$119,AF162,0),13,FALSE)),"","/"&amp;VLOOKUP($N162,OFFSET(選手情報!$A$6:$M$119,AF162,0),13,FALSE)),"")</f>
        <v/>
      </c>
      <c r="AH162" s="127" t="str">
        <f ca="1">IF(AF162&lt;&gt;"",IF(ISNA(VLOOKUP($N162,OFFSET(選手情報!$A$6:$BD$119,AF162,0),56,FALSE)),"",VLOOKUP($N162,OFFSET(選手情報!$A$6:$BD$119,AF162,0),56,FALSE)),"")</f>
        <v/>
      </c>
      <c r="AI162" s="127" t="str">
        <f ca="1">IF(AH162&lt;&gt;"",IF(ISNA(VLOOKUP($N162,OFFSET(選手情報!$A$6:$M$119,AH162,0),13,FALSE)),"","/"&amp;VLOOKUP($N162,OFFSET(選手情報!$A$6:$M$119,AH162,0),13,FALSE)),"")</f>
        <v/>
      </c>
      <c r="AJ162" s="127" t="str">
        <f ca="1">IF(AH162&lt;&gt;"",IF(ISNA(VLOOKUP($N162,OFFSET(選手情報!$A$6:$BD$119,AH162,0),56,FALSE)),"",VLOOKUP($N162,OFFSET(選手情報!$A$6:$BD$119,AH162,0),56,FALSE)),"")</f>
        <v/>
      </c>
      <c r="AK162" s="127" t="str">
        <f ca="1">IF(AJ162&lt;&gt;"",IF(ISNA(VLOOKUP($N162,OFFSET(選手情報!$A$6:$M$119,AJ162,0),13,FALSE)),"","/"&amp;VLOOKUP($N162,OFFSET(選手情報!$A$6:$M$119,AJ162,0),13,FALSE)),"")</f>
        <v/>
      </c>
      <c r="AL162" s="127" t="str">
        <f ca="1">IF(AJ162&lt;&gt;"",IF(ISNA(VLOOKUP($N162,OFFSET(選手情報!$A$6:$BD$119,AJ162,0),56,FALSE)),"",VLOOKUP($N162,OFFSET(選手情報!$A$6:$BD$119,AJ162,0),56,FALSE)),"")</f>
        <v/>
      </c>
      <c r="AM162" s="127" t="str">
        <f ca="1">IF(AL162&lt;&gt;"",IF(ISNA(VLOOKUP($N162,OFFSET(選手情報!$A$6:$M$119,AL162,0),13,FALSE)),"","/"&amp;VLOOKUP($N162,OFFSET(選手情報!$A$6:$M$119,AL162,0),13,FALSE)),"")</f>
        <v/>
      </c>
      <c r="AN162" s="127" t="str">
        <f ca="1">IF(AL162&lt;&gt;"",IF(ISNA(VLOOKUP($N162,OFFSET(選手情報!$A$6:$BD$119,AL162,0),56,FALSE)),"",VLOOKUP($N162,OFFSET(選手情報!$A$6:$BD$119,AL162,0),56,FALSE)),"")</f>
        <v/>
      </c>
      <c r="AO162" s="127" t="str">
        <f ca="1">IF(AN162&lt;&gt;"",IF(ISNA(VLOOKUP($N162,OFFSET(選手情報!$A$6:$M$119,AN162,0),13,FALSE)),"","/"&amp;VLOOKUP($N162,OFFSET(選手情報!$A$6:$M$119,AN162,0),13,FALSE)),"")</f>
        <v/>
      </c>
      <c r="AP162" s="127" t="str">
        <f ca="1">IF(AN162&lt;&gt;"",IF(ISNA(VLOOKUP($N162,OFFSET(選手情報!$A$6:$BD$119,AN162,0),56,FALSE)),"",VLOOKUP($N162,OFFSET(選手情報!$A$6:$BD$119,AN162,0),56,FALSE)),"")</f>
        <v/>
      </c>
      <c r="AQ162" s="127" t="str">
        <f ca="1">IF(AP162&lt;&gt;"",IF(ISNA(VLOOKUP($N162,OFFSET(選手情報!$A$6:$M$119,AP162,0),13,FALSE)),"","/"&amp;VLOOKUP($N162,OFFSET(選手情報!$A$6:$M$119,AP162,0),13,FALSE)),"")</f>
        <v/>
      </c>
      <c r="AR162" s="127" t="str">
        <f ca="1">IF(AP162&lt;&gt;"",IF(ISNA(VLOOKUP($N162,OFFSET(選手情報!$A$6:$BD$119,AP162,0),56,FALSE)),"",VLOOKUP($N162,OFFSET(選手情報!$A$6:$BD$119,AP162,0),56,FALSE)),"")</f>
        <v/>
      </c>
      <c r="AS162" s="127" t="str">
        <f ca="1">IF(AR162&lt;&gt;"",IF(ISNA(VLOOKUP($N162,OFFSET(選手情報!$A$6:$M$119,AR162,0),13,FALSE)),"","/"&amp;VLOOKUP($N162,OFFSET(選手情報!$A$6:$M$119,AR162,0),13,FALSE)),"")</f>
        <v/>
      </c>
      <c r="AT162" s="127" t="str">
        <f ca="1">IF(AR162&lt;&gt;"",IF(ISNA(VLOOKUP($N162,OFFSET(選手情報!$A$6:$BD$119,AR162,0),56,FALSE)),"",VLOOKUP($N162,OFFSET(選手情報!$A$6:$BD$119,AR162,0),56,FALSE)),"")</f>
        <v/>
      </c>
      <c r="AU162" s="127" t="str">
        <f ca="1">IF(AT162&lt;&gt;"",IF(ISNA(VLOOKUP($N162,OFFSET(選手情報!$A$6:$M$119,AT162,0),13,FALSE)),"","/"&amp;VLOOKUP($N162,OFFSET(選手情報!$A$6:$M$119,AT162,0),13,FALSE)),"")</f>
        <v/>
      </c>
      <c r="AV162" s="127" t="str">
        <f ca="1">IF(AT162&lt;&gt;"",IF(ISNA(VLOOKUP($N162,OFFSET(選手情報!$A$6:$BD$119,AT162,0),56,FALSE)),"",VLOOKUP($N162,OFFSET(選手情報!$A$6:$BD$119,AT162,0),56,FALSE)),"")</f>
        <v/>
      </c>
      <c r="AW162" s="127" t="str">
        <f ca="1">IF(AV162&lt;&gt;"",IF(ISNA(VLOOKUP($N162,OFFSET(選手情報!$A$6:$M$119,AV162,0),13,FALSE)),"","/"&amp;VLOOKUP($N162,OFFSET(選手情報!$A$6:$M$119,AV162,0),13,FALSE)),"")</f>
        <v/>
      </c>
      <c r="AX162" s="127" t="str">
        <f ca="1">IF(AV162&lt;&gt;"",IF(ISNA(VLOOKUP($N162,OFFSET(選手情報!$A$6:$BD$119,AV162,0),56,FALSE)),"",VLOOKUP($N162,OFFSET(選手情報!$A$6:$BD$119,AV162,0),56,FALSE)),"")</f>
        <v/>
      </c>
      <c r="AY162" s="127" t="str">
        <f ca="1">IF(AX162&lt;&gt;"",IF(ISNA(VLOOKUP($N162,OFFSET(選手情報!$A$6:$M$119,AX162,0),13,FALSE)),"","/"&amp;VLOOKUP($N162,OFFSET(選手情報!$A$6:$M$119,AX162,0),13,FALSE)),"")</f>
        <v/>
      </c>
      <c r="AZ162" s="127" t="str">
        <f ca="1">IF(AX162&lt;&gt;"",IF(ISNA(VLOOKUP($N162,OFFSET(選手情報!$A$6:$BD$119,AX162,0),56,FALSE)),"",VLOOKUP($N162,OFFSET(選手情報!$A$6:$BD$119,AX162,0),56,FALSE)),"")</f>
        <v/>
      </c>
      <c r="BA162" s="127" t="str">
        <f ca="1">IF(AZ162&lt;&gt;"",IF(ISNA(VLOOKUP($N162,OFFSET(選手情報!$A$6:$M$119,AZ162,0),13,FALSE)),"","/"&amp;VLOOKUP($N162,OFFSET(選手情報!$A$6:$M$119,AZ162,0),13,FALSE)),"")</f>
        <v/>
      </c>
      <c r="BB162" s="127" t="str">
        <f ca="1">IF(AZ162&lt;&gt;"",IF(ISNA(VLOOKUP($N162,OFFSET(選手情報!$A$6:$BD$119,AZ162,0),56,FALSE)),"",VLOOKUP($N162,OFFSET(選手情報!$A$6:$BD$119,AZ162,0),56,FALSE)),"")</f>
        <v/>
      </c>
      <c r="BC162" s="127" t="str">
        <f ca="1">IF(BB162&lt;&gt;"",IF(ISNA(VLOOKUP($N162,OFFSET(選手情報!$A$6:$M$119,BB162,0),13,FALSE)),"","/"&amp;VLOOKUP($N162,OFFSET(選手情報!$A$6:$M$119,BB162,0),13,FALSE)),"")</f>
        <v/>
      </c>
      <c r="BD162" s="127" t="str">
        <f ca="1">IF(BB162&lt;&gt;"",IF(ISNA(VLOOKUP($N162,OFFSET(選手情報!$A$6:$BD$119,BB162,0),56,FALSE)),"",VLOOKUP($N162,OFFSET(選手情報!$A$6:$BD$119,BB162,0),56,FALSE)),"")</f>
        <v/>
      </c>
      <c r="BE162" s="127" t="str">
        <f ca="1">IF(BD162&lt;&gt;"",IF(ISNA(VLOOKUP($N162,OFFSET(選手情報!$A$6:$M$119,BD162,0),13,FALSE)),"","/"&amp;VLOOKUP($N162,OFFSET(選手情報!$A$6:$M$119,BD162,0),13,FALSE)),"")</f>
        <v/>
      </c>
      <c r="BF162" s="127" t="str">
        <f ca="1">IF(BD162&lt;&gt;"",IF(ISNA(VLOOKUP($N162,OFFSET(選手情報!$A$6:$BD$119,BD162,0),56,FALSE)),"",VLOOKUP($N162,OFFSET(選手情報!$A$6:$BD$119,BD162,0),56,FALSE)),"")</f>
        <v/>
      </c>
      <c r="BG162" s="127" t="str">
        <f ca="1">IF(BF162&lt;&gt;"",IF(ISNA(VLOOKUP($N162,OFFSET(選手情報!$A$6:$M$119,BF162,0),13,FALSE)),"","/"&amp;VLOOKUP($N162,OFFSET(選手情報!$A$6:$M$119,BF162,0),13,FALSE)),"")</f>
        <v/>
      </c>
      <c r="BH162" s="127" t="str">
        <f ca="1">IF(BF162&lt;&gt;"",IF(ISNA(VLOOKUP($N162,OFFSET(選手情報!$A$6:$BD$119,BF162,0),56,FALSE)),"",VLOOKUP($N162,OFFSET(選手情報!$A$6:$BD$119,BF162,0),56,FALSE)),"")</f>
        <v/>
      </c>
      <c r="BI162" s="127" t="str">
        <f ca="1">IF(BH162&lt;&gt;"",IF(ISNA(VLOOKUP($N162,OFFSET(選手情報!$A$6:$M$119,BH162,0),13,FALSE)),"","/"&amp;VLOOKUP($N162,OFFSET(選手情報!$A$6:$M$119,BH162,0),13,FALSE)),"")</f>
        <v/>
      </c>
    </row>
    <row r="163" spans="1:61" s="127" customFormat="1" ht="12.6" customHeight="1">
      <c r="A163" s="128" t="str">
        <f>IF(ISNA(VLOOKUP($C$2&amp;N163,選手データ!A:H,3,FALSE)),"",IF(M163&lt;&gt;M162,VLOOKUP($C$2&amp;N163,選手データ!A:H,3,FALSE),""))</f>
        <v/>
      </c>
      <c r="B163" s="129" t="str">
        <f>IF(A163&lt;&gt;"",VLOOKUP($C$2&amp;N163,選手データ!A:H,4,FALSE),"")</f>
        <v/>
      </c>
      <c r="C163" s="129" t="str">
        <f>IF(A163&lt;&gt;"",VLOOKUP($C$2&amp;N163,選手データ!A:H,5,FALSE),"")</f>
        <v/>
      </c>
      <c r="D163" s="129" t="str">
        <f>IF(A163&lt;&gt;"",VLOOKUP($C$2&amp;N163,選手データ!A:H,6,FALSE),"")</f>
        <v/>
      </c>
      <c r="E163" s="129" t="str">
        <f>IF(A163&lt;&gt;"",VLOOKUP($C$2&amp;N163,選手データ!A:H,7,FALSE),"")</f>
        <v/>
      </c>
      <c r="F163" s="130" t="str">
        <f>IF(A163&lt;&gt;"",VLOOKUP($C$2&amp;N163,選手データ!A:H,8,FALSE),"")</f>
        <v/>
      </c>
      <c r="G163" s="130" t="str">
        <f>IF(F163&lt;&gt;"",IF(DATEDIF(F163,設定!$B$12,"Y")&lt;20,"〇",""),"")</f>
        <v/>
      </c>
      <c r="H163" s="131" t="str">
        <f t="shared" ca="1" si="19"/>
        <v/>
      </c>
      <c r="I163" s="132" t="str">
        <f t="shared" ca="1" si="20"/>
        <v/>
      </c>
      <c r="J163" s="131" t="str">
        <f t="shared" ca="1" si="21"/>
        <v/>
      </c>
      <c r="K163" s="130" t="str">
        <f>IF(A163&lt;&gt;"",IF(COUNTIF(リレーチーム情報!$B$17:$B$22,A163&amp;E163)=1,"〇",""),"")</f>
        <v/>
      </c>
      <c r="L163" s="133" t="str">
        <f>IF(A163&lt;&gt;"",IF(COUNTIF(リレーチーム情報!$B$23:$B$28,A163&amp;E163)=1,"〇",""),"")</f>
        <v/>
      </c>
      <c r="M163" s="127">
        <f>IF(学校情報!$A$4&lt;&gt;"",0,IF(S162=0,MAX($M$109:M162)+1,M162))</f>
        <v>0</v>
      </c>
      <c r="N163" s="127" t="str">
        <f>IF(M163&lt;&gt;0,VLOOKUP(M163,選手情報!BI:BJ,2,FALSE),"")</f>
        <v/>
      </c>
      <c r="O163" s="127" t="str">
        <f ca="1">IF(M163&lt;&gt;0,VLOOKUP(N163,OFFSET(選手情報!$A$6:$W$119,IF(M163&lt;&gt;M162,0,R162),0),13,FALSE),"")</f>
        <v/>
      </c>
      <c r="P163" s="127" t="str">
        <f ca="1">IF(M163&lt;&gt;0,VLOOKUP(N163,OFFSET(選手情報!$A$6:$W$119,IF(M163&lt;&gt;M162,0,R162),0),16,FALSE),"")</f>
        <v/>
      </c>
      <c r="Q163" s="127" t="str">
        <f ca="1">IF(M163&lt;&gt;0,VLOOKUP(N163,OFFSET(選手情報!$A$6:$W$119,IF(M163&lt;&gt;M162,0,R162),0),21,FALSE),"")</f>
        <v/>
      </c>
      <c r="R163" s="127">
        <f ca="1">IF(M163&lt;&gt;0,VLOOKUP(N163,OFFSET(選手情報!$A$6:$BD$119,IF(M163&lt;&gt;M162,0,R162),0),56,FALSE),0)</f>
        <v>0</v>
      </c>
      <c r="S163" s="127">
        <f ca="1">IF(M163&lt;&gt;0,IF(ISNA(R163),0,COUNTIF(OFFSET(選手情報!$A$6:$A$119,R163,0),N163)),0)</f>
        <v>0</v>
      </c>
      <c r="U163" s="127">
        <f t="shared" si="16"/>
        <v>0</v>
      </c>
      <c r="V163" s="127">
        <f t="shared" ca="1" si="17"/>
        <v>1</v>
      </c>
      <c r="W163" s="127">
        <f t="shared" ca="1" si="12"/>
        <v>0</v>
      </c>
      <c r="X163" s="127" t="str">
        <f t="shared" ca="1" si="18"/>
        <v/>
      </c>
      <c r="Y163" s="127" t="str">
        <f>IF($A163&lt;&gt;"",IF(ISNA(VLOOKUP($N163,選手情報!$A$6:$M$119,13,FALSE)),"","/"&amp;VLOOKUP($N163,選手情報!$A$6:$M$119,13,FALSE)),"")</f>
        <v/>
      </c>
      <c r="Z163" s="127" t="str">
        <f ca="1">IF(Y163&lt;&gt;"",IF(ISNA(VLOOKUP($N163,OFFSET(選手情報!$A$6:$BD$119,0,0),56,FALSE)),"",VLOOKUP($N163,OFFSET(選手情報!$A$6:$BD$119,0,0),56,FALSE)),"")</f>
        <v/>
      </c>
      <c r="AA163" s="127" t="str">
        <f ca="1">IF(Z163&lt;&gt;"",IF(ISNA(VLOOKUP($N163,OFFSET(選手情報!$A$6:$M$119,Z163,0),13,FALSE)),"","/"&amp;VLOOKUP($N163,OFFSET(選手情報!$A$6:$M$119,Z163,0),13,FALSE)),"")</f>
        <v/>
      </c>
      <c r="AB163" s="127" t="str">
        <f ca="1">IF(Z163&lt;&gt;"",IF(ISNA(VLOOKUP($N163,OFFSET(選手情報!$A$6:$BD$119,Z163,0),56,FALSE)),"",VLOOKUP($N163,OFFSET(選手情報!$A$6:$BD$119,Z163,0),56,FALSE)),"")</f>
        <v/>
      </c>
      <c r="AC163" s="127" t="str">
        <f ca="1">IF(AB163&lt;&gt;"",IF(ISNA(VLOOKUP($N163,OFFSET(選手情報!$A$6:$M$119,AB163,0),13,FALSE)),"","/"&amp;VLOOKUP($N163,OFFSET(選手情報!$A$6:$M$119,AB163,0),13,FALSE)),"")</f>
        <v/>
      </c>
      <c r="AD163" s="127" t="str">
        <f ca="1">IF(AB163&lt;&gt;"",IF(ISNA(VLOOKUP($N163,OFFSET(選手情報!$A$6:$BD$119,AB163,0),56,FALSE)),"",VLOOKUP($N163,OFFSET(選手情報!$A$6:$BD$119,AB163,0),56,FALSE)),"")</f>
        <v/>
      </c>
      <c r="AE163" s="127" t="str">
        <f ca="1">IF(AD163&lt;&gt;"",IF(ISNA(VLOOKUP($N163,OFFSET(選手情報!$A$6:$M$119,AD163,0),13,FALSE)),"","/"&amp;VLOOKUP($N163,OFFSET(選手情報!$A$6:$M$119,AD163,0),13,FALSE)),"")</f>
        <v/>
      </c>
      <c r="AF163" s="127" t="str">
        <f ca="1">IF(AD163&lt;&gt;"",IF(ISNA(VLOOKUP($N163,OFFSET(選手情報!$A$6:$BD$119,AD163,0),56,FALSE)),"",VLOOKUP($N163,OFFSET(選手情報!$A$6:$BD$119,AD163,0),56,FALSE)),"")</f>
        <v/>
      </c>
      <c r="AG163" s="127" t="str">
        <f ca="1">IF(AF163&lt;&gt;"",IF(ISNA(VLOOKUP($N163,OFFSET(選手情報!$A$6:$M$119,AF163,0),13,FALSE)),"","/"&amp;VLOOKUP($N163,OFFSET(選手情報!$A$6:$M$119,AF163,0),13,FALSE)),"")</f>
        <v/>
      </c>
      <c r="AH163" s="127" t="str">
        <f ca="1">IF(AF163&lt;&gt;"",IF(ISNA(VLOOKUP($N163,OFFSET(選手情報!$A$6:$BD$119,AF163,0),56,FALSE)),"",VLOOKUP($N163,OFFSET(選手情報!$A$6:$BD$119,AF163,0),56,FALSE)),"")</f>
        <v/>
      </c>
      <c r="AI163" s="127" t="str">
        <f ca="1">IF(AH163&lt;&gt;"",IF(ISNA(VLOOKUP($N163,OFFSET(選手情報!$A$6:$M$119,AH163,0),13,FALSE)),"","/"&amp;VLOOKUP($N163,OFFSET(選手情報!$A$6:$M$119,AH163,0),13,FALSE)),"")</f>
        <v/>
      </c>
      <c r="AJ163" s="127" t="str">
        <f ca="1">IF(AH163&lt;&gt;"",IF(ISNA(VLOOKUP($N163,OFFSET(選手情報!$A$6:$BD$119,AH163,0),56,FALSE)),"",VLOOKUP($N163,OFFSET(選手情報!$A$6:$BD$119,AH163,0),56,FALSE)),"")</f>
        <v/>
      </c>
      <c r="AK163" s="127" t="str">
        <f ca="1">IF(AJ163&lt;&gt;"",IF(ISNA(VLOOKUP($N163,OFFSET(選手情報!$A$6:$M$119,AJ163,0),13,FALSE)),"","/"&amp;VLOOKUP($N163,OFFSET(選手情報!$A$6:$M$119,AJ163,0),13,FALSE)),"")</f>
        <v/>
      </c>
      <c r="AL163" s="127" t="str">
        <f ca="1">IF(AJ163&lt;&gt;"",IF(ISNA(VLOOKUP($N163,OFFSET(選手情報!$A$6:$BD$119,AJ163,0),56,FALSE)),"",VLOOKUP($N163,OFFSET(選手情報!$A$6:$BD$119,AJ163,0),56,FALSE)),"")</f>
        <v/>
      </c>
      <c r="AM163" s="127" t="str">
        <f ca="1">IF(AL163&lt;&gt;"",IF(ISNA(VLOOKUP($N163,OFFSET(選手情報!$A$6:$M$119,AL163,0),13,FALSE)),"","/"&amp;VLOOKUP($N163,OFFSET(選手情報!$A$6:$M$119,AL163,0),13,FALSE)),"")</f>
        <v/>
      </c>
      <c r="AN163" s="127" t="str">
        <f ca="1">IF(AL163&lt;&gt;"",IF(ISNA(VLOOKUP($N163,OFFSET(選手情報!$A$6:$BD$119,AL163,0),56,FALSE)),"",VLOOKUP($N163,OFFSET(選手情報!$A$6:$BD$119,AL163,0),56,FALSE)),"")</f>
        <v/>
      </c>
      <c r="AO163" s="127" t="str">
        <f ca="1">IF(AN163&lt;&gt;"",IF(ISNA(VLOOKUP($N163,OFFSET(選手情報!$A$6:$M$119,AN163,0),13,FALSE)),"","/"&amp;VLOOKUP($N163,OFFSET(選手情報!$A$6:$M$119,AN163,0),13,FALSE)),"")</f>
        <v/>
      </c>
      <c r="AP163" s="127" t="str">
        <f ca="1">IF(AN163&lt;&gt;"",IF(ISNA(VLOOKUP($N163,OFFSET(選手情報!$A$6:$BD$119,AN163,0),56,FALSE)),"",VLOOKUP($N163,OFFSET(選手情報!$A$6:$BD$119,AN163,0),56,FALSE)),"")</f>
        <v/>
      </c>
      <c r="AQ163" s="127" t="str">
        <f ca="1">IF(AP163&lt;&gt;"",IF(ISNA(VLOOKUP($N163,OFFSET(選手情報!$A$6:$M$119,AP163,0),13,FALSE)),"","/"&amp;VLOOKUP($N163,OFFSET(選手情報!$A$6:$M$119,AP163,0),13,FALSE)),"")</f>
        <v/>
      </c>
      <c r="AR163" s="127" t="str">
        <f ca="1">IF(AP163&lt;&gt;"",IF(ISNA(VLOOKUP($N163,OFFSET(選手情報!$A$6:$BD$119,AP163,0),56,FALSE)),"",VLOOKUP($N163,OFFSET(選手情報!$A$6:$BD$119,AP163,0),56,FALSE)),"")</f>
        <v/>
      </c>
      <c r="AS163" s="127" t="str">
        <f ca="1">IF(AR163&lt;&gt;"",IF(ISNA(VLOOKUP($N163,OFFSET(選手情報!$A$6:$M$119,AR163,0),13,FALSE)),"","/"&amp;VLOOKUP($N163,OFFSET(選手情報!$A$6:$M$119,AR163,0),13,FALSE)),"")</f>
        <v/>
      </c>
      <c r="AT163" s="127" t="str">
        <f ca="1">IF(AR163&lt;&gt;"",IF(ISNA(VLOOKUP($N163,OFFSET(選手情報!$A$6:$BD$119,AR163,0),56,FALSE)),"",VLOOKUP($N163,OFFSET(選手情報!$A$6:$BD$119,AR163,0),56,FALSE)),"")</f>
        <v/>
      </c>
      <c r="AU163" s="127" t="str">
        <f ca="1">IF(AT163&lt;&gt;"",IF(ISNA(VLOOKUP($N163,OFFSET(選手情報!$A$6:$M$119,AT163,0),13,FALSE)),"","/"&amp;VLOOKUP($N163,OFFSET(選手情報!$A$6:$M$119,AT163,0),13,FALSE)),"")</f>
        <v/>
      </c>
      <c r="AV163" s="127" t="str">
        <f ca="1">IF(AT163&lt;&gt;"",IF(ISNA(VLOOKUP($N163,OFFSET(選手情報!$A$6:$BD$119,AT163,0),56,FALSE)),"",VLOOKUP($N163,OFFSET(選手情報!$A$6:$BD$119,AT163,0),56,FALSE)),"")</f>
        <v/>
      </c>
      <c r="AW163" s="127" t="str">
        <f ca="1">IF(AV163&lt;&gt;"",IF(ISNA(VLOOKUP($N163,OFFSET(選手情報!$A$6:$M$119,AV163,0),13,FALSE)),"","/"&amp;VLOOKUP($N163,OFFSET(選手情報!$A$6:$M$119,AV163,0),13,FALSE)),"")</f>
        <v/>
      </c>
      <c r="AX163" s="127" t="str">
        <f ca="1">IF(AV163&lt;&gt;"",IF(ISNA(VLOOKUP($N163,OFFSET(選手情報!$A$6:$BD$119,AV163,0),56,FALSE)),"",VLOOKUP($N163,OFFSET(選手情報!$A$6:$BD$119,AV163,0),56,FALSE)),"")</f>
        <v/>
      </c>
      <c r="AY163" s="127" t="str">
        <f ca="1">IF(AX163&lt;&gt;"",IF(ISNA(VLOOKUP($N163,OFFSET(選手情報!$A$6:$M$119,AX163,0),13,FALSE)),"","/"&amp;VLOOKUP($N163,OFFSET(選手情報!$A$6:$M$119,AX163,0),13,FALSE)),"")</f>
        <v/>
      </c>
      <c r="AZ163" s="127" t="str">
        <f ca="1">IF(AX163&lt;&gt;"",IF(ISNA(VLOOKUP($N163,OFFSET(選手情報!$A$6:$BD$119,AX163,0),56,FALSE)),"",VLOOKUP($N163,OFFSET(選手情報!$A$6:$BD$119,AX163,0),56,FALSE)),"")</f>
        <v/>
      </c>
      <c r="BA163" s="127" t="str">
        <f ca="1">IF(AZ163&lt;&gt;"",IF(ISNA(VLOOKUP($N163,OFFSET(選手情報!$A$6:$M$119,AZ163,0),13,FALSE)),"","/"&amp;VLOOKUP($N163,OFFSET(選手情報!$A$6:$M$119,AZ163,0),13,FALSE)),"")</f>
        <v/>
      </c>
      <c r="BB163" s="127" t="str">
        <f ca="1">IF(AZ163&lt;&gt;"",IF(ISNA(VLOOKUP($N163,OFFSET(選手情報!$A$6:$BD$119,AZ163,0),56,FALSE)),"",VLOOKUP($N163,OFFSET(選手情報!$A$6:$BD$119,AZ163,0),56,FALSE)),"")</f>
        <v/>
      </c>
      <c r="BC163" s="127" t="str">
        <f ca="1">IF(BB163&lt;&gt;"",IF(ISNA(VLOOKUP($N163,OFFSET(選手情報!$A$6:$M$119,BB163,0),13,FALSE)),"","/"&amp;VLOOKUP($N163,OFFSET(選手情報!$A$6:$M$119,BB163,0),13,FALSE)),"")</f>
        <v/>
      </c>
      <c r="BD163" s="127" t="str">
        <f ca="1">IF(BB163&lt;&gt;"",IF(ISNA(VLOOKUP($N163,OFFSET(選手情報!$A$6:$BD$119,BB163,0),56,FALSE)),"",VLOOKUP($N163,OFFSET(選手情報!$A$6:$BD$119,BB163,0),56,FALSE)),"")</f>
        <v/>
      </c>
      <c r="BE163" s="127" t="str">
        <f ca="1">IF(BD163&lt;&gt;"",IF(ISNA(VLOOKUP($N163,OFFSET(選手情報!$A$6:$M$119,BD163,0),13,FALSE)),"","/"&amp;VLOOKUP($N163,OFFSET(選手情報!$A$6:$M$119,BD163,0),13,FALSE)),"")</f>
        <v/>
      </c>
      <c r="BF163" s="127" t="str">
        <f ca="1">IF(BD163&lt;&gt;"",IF(ISNA(VLOOKUP($N163,OFFSET(選手情報!$A$6:$BD$119,BD163,0),56,FALSE)),"",VLOOKUP($N163,OFFSET(選手情報!$A$6:$BD$119,BD163,0),56,FALSE)),"")</f>
        <v/>
      </c>
      <c r="BG163" s="127" t="str">
        <f ca="1">IF(BF163&lt;&gt;"",IF(ISNA(VLOOKUP($N163,OFFSET(選手情報!$A$6:$M$119,BF163,0),13,FALSE)),"","/"&amp;VLOOKUP($N163,OFFSET(選手情報!$A$6:$M$119,BF163,0),13,FALSE)),"")</f>
        <v/>
      </c>
      <c r="BH163" s="127" t="str">
        <f ca="1">IF(BF163&lt;&gt;"",IF(ISNA(VLOOKUP($N163,OFFSET(選手情報!$A$6:$BD$119,BF163,0),56,FALSE)),"",VLOOKUP($N163,OFFSET(選手情報!$A$6:$BD$119,BF163,0),56,FALSE)),"")</f>
        <v/>
      </c>
      <c r="BI163" s="127" t="str">
        <f ca="1">IF(BH163&lt;&gt;"",IF(ISNA(VLOOKUP($N163,OFFSET(選手情報!$A$6:$M$119,BH163,0),13,FALSE)),"","/"&amp;VLOOKUP($N163,OFFSET(選手情報!$A$6:$M$119,BH163,0),13,FALSE)),"")</f>
        <v/>
      </c>
    </row>
    <row r="164" spans="1:61" s="127" customFormat="1" ht="12.6" customHeight="1">
      <c r="A164" s="128" t="str">
        <f>IF(ISNA(VLOOKUP($C$2&amp;N164,選手データ!A:H,3,FALSE)),"",IF(M164&lt;&gt;M163,VLOOKUP($C$2&amp;N164,選手データ!A:H,3,FALSE),""))</f>
        <v/>
      </c>
      <c r="B164" s="129" t="str">
        <f>IF(A164&lt;&gt;"",VLOOKUP($C$2&amp;N164,選手データ!A:H,4,FALSE),"")</f>
        <v/>
      </c>
      <c r="C164" s="129" t="str">
        <f>IF(A164&lt;&gt;"",VLOOKUP($C$2&amp;N164,選手データ!A:H,5,FALSE),"")</f>
        <v/>
      </c>
      <c r="D164" s="129" t="str">
        <f>IF(A164&lt;&gt;"",VLOOKUP($C$2&amp;N164,選手データ!A:H,6,FALSE),"")</f>
        <v/>
      </c>
      <c r="E164" s="129" t="str">
        <f>IF(A164&lt;&gt;"",VLOOKUP($C$2&amp;N164,選手データ!A:H,7,FALSE),"")</f>
        <v/>
      </c>
      <c r="F164" s="130" t="str">
        <f>IF(A164&lt;&gt;"",VLOOKUP($C$2&amp;N164,選手データ!A:H,8,FALSE),"")</f>
        <v/>
      </c>
      <c r="G164" s="130" t="str">
        <f>IF(F164&lt;&gt;"",IF(DATEDIF(F164,設定!$B$12,"Y")&lt;20,"〇",""),"")</f>
        <v/>
      </c>
      <c r="H164" s="131" t="str">
        <f t="shared" ca="1" si="19"/>
        <v/>
      </c>
      <c r="I164" s="132" t="str">
        <f t="shared" ca="1" si="20"/>
        <v/>
      </c>
      <c r="J164" s="131" t="str">
        <f t="shared" ca="1" si="21"/>
        <v/>
      </c>
      <c r="K164" s="130" t="str">
        <f>IF(A164&lt;&gt;"",IF(COUNTIF(リレーチーム情報!$B$17:$B$22,A164&amp;E164)=1,"〇",""),"")</f>
        <v/>
      </c>
      <c r="L164" s="133" t="str">
        <f>IF(A164&lt;&gt;"",IF(COUNTIF(リレーチーム情報!$B$23:$B$28,A164&amp;E164)=1,"〇",""),"")</f>
        <v/>
      </c>
      <c r="M164" s="127">
        <f>IF(学校情報!$A$4&lt;&gt;"",0,IF(S163=0,MAX($M$109:M163)+1,M163))</f>
        <v>0</v>
      </c>
      <c r="N164" s="127" t="str">
        <f>IF(M164&lt;&gt;0,VLOOKUP(M164,選手情報!BI:BJ,2,FALSE),"")</f>
        <v/>
      </c>
      <c r="O164" s="127" t="str">
        <f ca="1">IF(M164&lt;&gt;0,VLOOKUP(N164,OFFSET(選手情報!$A$6:$W$119,IF(M164&lt;&gt;M163,0,R163),0),13,FALSE),"")</f>
        <v/>
      </c>
      <c r="P164" s="127" t="str">
        <f ca="1">IF(M164&lt;&gt;0,VLOOKUP(N164,OFFSET(選手情報!$A$6:$W$119,IF(M164&lt;&gt;M163,0,R163),0),16,FALSE),"")</f>
        <v/>
      </c>
      <c r="Q164" s="127" t="str">
        <f ca="1">IF(M164&lt;&gt;0,VLOOKUP(N164,OFFSET(選手情報!$A$6:$W$119,IF(M164&lt;&gt;M163,0,R163),0),21,FALSE),"")</f>
        <v/>
      </c>
      <c r="R164" s="127">
        <f ca="1">IF(M164&lt;&gt;0,VLOOKUP(N164,OFFSET(選手情報!$A$6:$BD$119,IF(M164&lt;&gt;M163,0,R163),0),56,FALSE),0)</f>
        <v>0</v>
      </c>
      <c r="S164" s="127">
        <f ca="1">IF(M164&lt;&gt;0,IF(ISNA(R164),0,COUNTIF(OFFSET(選手情報!$A$6:$A$119,R164,0),N164)),0)</f>
        <v>0</v>
      </c>
      <c r="U164" s="127">
        <f t="shared" si="16"/>
        <v>0</v>
      </c>
      <c r="V164" s="127">
        <f t="shared" ca="1" si="17"/>
        <v>1</v>
      </c>
      <c r="W164" s="127">
        <f t="shared" ca="1" si="12"/>
        <v>0</v>
      </c>
      <c r="X164" s="127" t="str">
        <f t="shared" ca="1" si="18"/>
        <v/>
      </c>
      <c r="Y164" s="127" t="str">
        <f>IF($A164&lt;&gt;"",IF(ISNA(VLOOKUP($N164,選手情報!$A$6:$M$119,13,FALSE)),"","/"&amp;VLOOKUP($N164,選手情報!$A$6:$M$119,13,FALSE)),"")</f>
        <v/>
      </c>
      <c r="Z164" s="127" t="str">
        <f ca="1">IF(Y164&lt;&gt;"",IF(ISNA(VLOOKUP($N164,OFFSET(選手情報!$A$6:$BD$119,0,0),56,FALSE)),"",VLOOKUP($N164,OFFSET(選手情報!$A$6:$BD$119,0,0),56,FALSE)),"")</f>
        <v/>
      </c>
      <c r="AA164" s="127" t="str">
        <f ca="1">IF(Z164&lt;&gt;"",IF(ISNA(VLOOKUP($N164,OFFSET(選手情報!$A$6:$M$119,Z164,0),13,FALSE)),"","/"&amp;VLOOKUP($N164,OFFSET(選手情報!$A$6:$M$119,Z164,0),13,FALSE)),"")</f>
        <v/>
      </c>
      <c r="AB164" s="127" t="str">
        <f ca="1">IF(Z164&lt;&gt;"",IF(ISNA(VLOOKUP($N164,OFFSET(選手情報!$A$6:$BD$119,Z164,0),56,FALSE)),"",VLOOKUP($N164,OFFSET(選手情報!$A$6:$BD$119,Z164,0),56,FALSE)),"")</f>
        <v/>
      </c>
      <c r="AC164" s="127" t="str">
        <f ca="1">IF(AB164&lt;&gt;"",IF(ISNA(VLOOKUP($N164,OFFSET(選手情報!$A$6:$M$119,AB164,0),13,FALSE)),"","/"&amp;VLOOKUP($N164,OFFSET(選手情報!$A$6:$M$119,AB164,0),13,FALSE)),"")</f>
        <v/>
      </c>
      <c r="AD164" s="127" t="str">
        <f ca="1">IF(AB164&lt;&gt;"",IF(ISNA(VLOOKUP($N164,OFFSET(選手情報!$A$6:$BD$119,AB164,0),56,FALSE)),"",VLOOKUP($N164,OFFSET(選手情報!$A$6:$BD$119,AB164,0),56,FALSE)),"")</f>
        <v/>
      </c>
      <c r="AE164" s="127" t="str">
        <f ca="1">IF(AD164&lt;&gt;"",IF(ISNA(VLOOKUP($N164,OFFSET(選手情報!$A$6:$M$119,AD164,0),13,FALSE)),"","/"&amp;VLOOKUP($N164,OFFSET(選手情報!$A$6:$M$119,AD164,0),13,FALSE)),"")</f>
        <v/>
      </c>
      <c r="AF164" s="127" t="str">
        <f ca="1">IF(AD164&lt;&gt;"",IF(ISNA(VLOOKUP($N164,OFFSET(選手情報!$A$6:$BD$119,AD164,0),56,FALSE)),"",VLOOKUP($N164,OFFSET(選手情報!$A$6:$BD$119,AD164,0),56,FALSE)),"")</f>
        <v/>
      </c>
      <c r="AG164" s="127" t="str">
        <f ca="1">IF(AF164&lt;&gt;"",IF(ISNA(VLOOKUP($N164,OFFSET(選手情報!$A$6:$M$119,AF164,0),13,FALSE)),"","/"&amp;VLOOKUP($N164,OFFSET(選手情報!$A$6:$M$119,AF164,0),13,FALSE)),"")</f>
        <v/>
      </c>
      <c r="AH164" s="127" t="str">
        <f ca="1">IF(AF164&lt;&gt;"",IF(ISNA(VLOOKUP($N164,OFFSET(選手情報!$A$6:$BD$119,AF164,0),56,FALSE)),"",VLOOKUP($N164,OFFSET(選手情報!$A$6:$BD$119,AF164,0),56,FALSE)),"")</f>
        <v/>
      </c>
      <c r="AI164" s="127" t="str">
        <f ca="1">IF(AH164&lt;&gt;"",IF(ISNA(VLOOKUP($N164,OFFSET(選手情報!$A$6:$M$119,AH164,0),13,FALSE)),"","/"&amp;VLOOKUP($N164,OFFSET(選手情報!$A$6:$M$119,AH164,0),13,FALSE)),"")</f>
        <v/>
      </c>
      <c r="AJ164" s="127" t="str">
        <f ca="1">IF(AH164&lt;&gt;"",IF(ISNA(VLOOKUP($N164,OFFSET(選手情報!$A$6:$BD$119,AH164,0),56,FALSE)),"",VLOOKUP($N164,OFFSET(選手情報!$A$6:$BD$119,AH164,0),56,FALSE)),"")</f>
        <v/>
      </c>
      <c r="AK164" s="127" t="str">
        <f ca="1">IF(AJ164&lt;&gt;"",IF(ISNA(VLOOKUP($N164,OFFSET(選手情報!$A$6:$M$119,AJ164,0),13,FALSE)),"","/"&amp;VLOOKUP($N164,OFFSET(選手情報!$A$6:$M$119,AJ164,0),13,FALSE)),"")</f>
        <v/>
      </c>
      <c r="AL164" s="127" t="str">
        <f ca="1">IF(AJ164&lt;&gt;"",IF(ISNA(VLOOKUP($N164,OFFSET(選手情報!$A$6:$BD$119,AJ164,0),56,FALSE)),"",VLOOKUP($N164,OFFSET(選手情報!$A$6:$BD$119,AJ164,0),56,FALSE)),"")</f>
        <v/>
      </c>
      <c r="AM164" s="127" t="str">
        <f ca="1">IF(AL164&lt;&gt;"",IF(ISNA(VLOOKUP($N164,OFFSET(選手情報!$A$6:$M$119,AL164,0),13,FALSE)),"","/"&amp;VLOOKUP($N164,OFFSET(選手情報!$A$6:$M$119,AL164,0),13,FALSE)),"")</f>
        <v/>
      </c>
      <c r="AN164" s="127" t="str">
        <f ca="1">IF(AL164&lt;&gt;"",IF(ISNA(VLOOKUP($N164,OFFSET(選手情報!$A$6:$BD$119,AL164,0),56,FALSE)),"",VLOOKUP($N164,OFFSET(選手情報!$A$6:$BD$119,AL164,0),56,FALSE)),"")</f>
        <v/>
      </c>
      <c r="AO164" s="127" t="str">
        <f ca="1">IF(AN164&lt;&gt;"",IF(ISNA(VLOOKUP($N164,OFFSET(選手情報!$A$6:$M$119,AN164,0),13,FALSE)),"","/"&amp;VLOOKUP($N164,OFFSET(選手情報!$A$6:$M$119,AN164,0),13,FALSE)),"")</f>
        <v/>
      </c>
      <c r="AP164" s="127" t="str">
        <f ca="1">IF(AN164&lt;&gt;"",IF(ISNA(VLOOKUP($N164,OFFSET(選手情報!$A$6:$BD$119,AN164,0),56,FALSE)),"",VLOOKUP($N164,OFFSET(選手情報!$A$6:$BD$119,AN164,0),56,FALSE)),"")</f>
        <v/>
      </c>
      <c r="AQ164" s="127" t="str">
        <f ca="1">IF(AP164&lt;&gt;"",IF(ISNA(VLOOKUP($N164,OFFSET(選手情報!$A$6:$M$119,AP164,0),13,FALSE)),"","/"&amp;VLOOKUP($N164,OFFSET(選手情報!$A$6:$M$119,AP164,0),13,FALSE)),"")</f>
        <v/>
      </c>
      <c r="AR164" s="127" t="str">
        <f ca="1">IF(AP164&lt;&gt;"",IF(ISNA(VLOOKUP($N164,OFFSET(選手情報!$A$6:$BD$119,AP164,0),56,FALSE)),"",VLOOKUP($N164,OFFSET(選手情報!$A$6:$BD$119,AP164,0),56,FALSE)),"")</f>
        <v/>
      </c>
      <c r="AS164" s="127" t="str">
        <f ca="1">IF(AR164&lt;&gt;"",IF(ISNA(VLOOKUP($N164,OFFSET(選手情報!$A$6:$M$119,AR164,0),13,FALSE)),"","/"&amp;VLOOKUP($N164,OFFSET(選手情報!$A$6:$M$119,AR164,0),13,FALSE)),"")</f>
        <v/>
      </c>
      <c r="AT164" s="127" t="str">
        <f ca="1">IF(AR164&lt;&gt;"",IF(ISNA(VLOOKUP($N164,OFFSET(選手情報!$A$6:$BD$119,AR164,0),56,FALSE)),"",VLOOKUP($N164,OFFSET(選手情報!$A$6:$BD$119,AR164,0),56,FALSE)),"")</f>
        <v/>
      </c>
      <c r="AU164" s="127" t="str">
        <f ca="1">IF(AT164&lt;&gt;"",IF(ISNA(VLOOKUP($N164,OFFSET(選手情報!$A$6:$M$119,AT164,0),13,FALSE)),"","/"&amp;VLOOKUP($N164,OFFSET(選手情報!$A$6:$M$119,AT164,0),13,FALSE)),"")</f>
        <v/>
      </c>
      <c r="AV164" s="127" t="str">
        <f ca="1">IF(AT164&lt;&gt;"",IF(ISNA(VLOOKUP($N164,OFFSET(選手情報!$A$6:$BD$119,AT164,0),56,FALSE)),"",VLOOKUP($N164,OFFSET(選手情報!$A$6:$BD$119,AT164,0),56,FALSE)),"")</f>
        <v/>
      </c>
      <c r="AW164" s="127" t="str">
        <f ca="1">IF(AV164&lt;&gt;"",IF(ISNA(VLOOKUP($N164,OFFSET(選手情報!$A$6:$M$119,AV164,0),13,FALSE)),"","/"&amp;VLOOKUP($N164,OFFSET(選手情報!$A$6:$M$119,AV164,0),13,FALSE)),"")</f>
        <v/>
      </c>
      <c r="AX164" s="127" t="str">
        <f ca="1">IF(AV164&lt;&gt;"",IF(ISNA(VLOOKUP($N164,OFFSET(選手情報!$A$6:$BD$119,AV164,0),56,FALSE)),"",VLOOKUP($N164,OFFSET(選手情報!$A$6:$BD$119,AV164,0),56,FALSE)),"")</f>
        <v/>
      </c>
      <c r="AY164" s="127" t="str">
        <f ca="1">IF(AX164&lt;&gt;"",IF(ISNA(VLOOKUP($N164,OFFSET(選手情報!$A$6:$M$119,AX164,0),13,FALSE)),"","/"&amp;VLOOKUP($N164,OFFSET(選手情報!$A$6:$M$119,AX164,0),13,FALSE)),"")</f>
        <v/>
      </c>
      <c r="AZ164" s="127" t="str">
        <f ca="1">IF(AX164&lt;&gt;"",IF(ISNA(VLOOKUP($N164,OFFSET(選手情報!$A$6:$BD$119,AX164,0),56,FALSE)),"",VLOOKUP($N164,OFFSET(選手情報!$A$6:$BD$119,AX164,0),56,FALSE)),"")</f>
        <v/>
      </c>
      <c r="BA164" s="127" t="str">
        <f ca="1">IF(AZ164&lt;&gt;"",IF(ISNA(VLOOKUP($N164,OFFSET(選手情報!$A$6:$M$119,AZ164,0),13,FALSE)),"","/"&amp;VLOOKUP($N164,OFFSET(選手情報!$A$6:$M$119,AZ164,0),13,FALSE)),"")</f>
        <v/>
      </c>
      <c r="BB164" s="127" t="str">
        <f ca="1">IF(AZ164&lt;&gt;"",IF(ISNA(VLOOKUP($N164,OFFSET(選手情報!$A$6:$BD$119,AZ164,0),56,FALSE)),"",VLOOKUP($N164,OFFSET(選手情報!$A$6:$BD$119,AZ164,0),56,FALSE)),"")</f>
        <v/>
      </c>
      <c r="BC164" s="127" t="str">
        <f ca="1">IF(BB164&lt;&gt;"",IF(ISNA(VLOOKUP($N164,OFFSET(選手情報!$A$6:$M$119,BB164,0),13,FALSE)),"","/"&amp;VLOOKUP($N164,OFFSET(選手情報!$A$6:$M$119,BB164,0),13,FALSE)),"")</f>
        <v/>
      </c>
      <c r="BD164" s="127" t="str">
        <f ca="1">IF(BB164&lt;&gt;"",IF(ISNA(VLOOKUP($N164,OFFSET(選手情報!$A$6:$BD$119,BB164,0),56,FALSE)),"",VLOOKUP($N164,OFFSET(選手情報!$A$6:$BD$119,BB164,0),56,FALSE)),"")</f>
        <v/>
      </c>
      <c r="BE164" s="127" t="str">
        <f ca="1">IF(BD164&lt;&gt;"",IF(ISNA(VLOOKUP($N164,OFFSET(選手情報!$A$6:$M$119,BD164,0),13,FALSE)),"","/"&amp;VLOOKUP($N164,OFFSET(選手情報!$A$6:$M$119,BD164,0),13,FALSE)),"")</f>
        <v/>
      </c>
      <c r="BF164" s="127" t="str">
        <f ca="1">IF(BD164&lt;&gt;"",IF(ISNA(VLOOKUP($N164,OFFSET(選手情報!$A$6:$BD$119,BD164,0),56,FALSE)),"",VLOOKUP($N164,OFFSET(選手情報!$A$6:$BD$119,BD164,0),56,FALSE)),"")</f>
        <v/>
      </c>
      <c r="BG164" s="127" t="str">
        <f ca="1">IF(BF164&lt;&gt;"",IF(ISNA(VLOOKUP($N164,OFFSET(選手情報!$A$6:$M$119,BF164,0),13,FALSE)),"","/"&amp;VLOOKUP($N164,OFFSET(選手情報!$A$6:$M$119,BF164,0),13,FALSE)),"")</f>
        <v/>
      </c>
      <c r="BH164" s="127" t="str">
        <f ca="1">IF(BF164&lt;&gt;"",IF(ISNA(VLOOKUP($N164,OFFSET(選手情報!$A$6:$BD$119,BF164,0),56,FALSE)),"",VLOOKUP($N164,OFFSET(選手情報!$A$6:$BD$119,BF164,0),56,FALSE)),"")</f>
        <v/>
      </c>
      <c r="BI164" s="127" t="str">
        <f ca="1">IF(BH164&lt;&gt;"",IF(ISNA(VLOOKUP($N164,OFFSET(選手情報!$A$6:$M$119,BH164,0),13,FALSE)),"","/"&amp;VLOOKUP($N164,OFFSET(選手情報!$A$6:$M$119,BH164,0),13,FALSE)),"")</f>
        <v/>
      </c>
    </row>
    <row r="165" spans="1:61" s="127" customFormat="1" ht="12.6" customHeight="1">
      <c r="A165" s="128" t="str">
        <f>IF(ISNA(VLOOKUP($C$2&amp;N165,選手データ!A:H,3,FALSE)),"",IF(M165&lt;&gt;M164,VLOOKUP($C$2&amp;N165,選手データ!A:H,3,FALSE),""))</f>
        <v/>
      </c>
      <c r="B165" s="129" t="str">
        <f>IF(A165&lt;&gt;"",VLOOKUP($C$2&amp;N165,選手データ!A:H,4,FALSE),"")</f>
        <v/>
      </c>
      <c r="C165" s="129" t="str">
        <f>IF(A165&lt;&gt;"",VLOOKUP($C$2&amp;N165,選手データ!A:H,5,FALSE),"")</f>
        <v/>
      </c>
      <c r="D165" s="129" t="str">
        <f>IF(A165&lt;&gt;"",VLOOKUP($C$2&amp;N165,選手データ!A:H,6,FALSE),"")</f>
        <v/>
      </c>
      <c r="E165" s="129" t="str">
        <f>IF(A165&lt;&gt;"",VLOOKUP($C$2&amp;N165,選手データ!A:H,7,FALSE),"")</f>
        <v/>
      </c>
      <c r="F165" s="130" t="str">
        <f>IF(A165&lt;&gt;"",VLOOKUP($C$2&amp;N165,選手データ!A:H,8,FALSE),"")</f>
        <v/>
      </c>
      <c r="G165" s="130" t="str">
        <f>IF(F165&lt;&gt;"",IF(DATEDIF(F165,設定!$B$12,"Y")&lt;20,"〇",""),"")</f>
        <v/>
      </c>
      <c r="H165" s="131" t="str">
        <f t="shared" ca="1" si="19"/>
        <v/>
      </c>
      <c r="I165" s="132" t="str">
        <f t="shared" ca="1" si="20"/>
        <v/>
      </c>
      <c r="J165" s="131" t="str">
        <f t="shared" ca="1" si="21"/>
        <v/>
      </c>
      <c r="K165" s="130" t="str">
        <f>IF(A165&lt;&gt;"",IF(COUNTIF(リレーチーム情報!$B$17:$B$22,A165&amp;E165)=1,"〇",""),"")</f>
        <v/>
      </c>
      <c r="L165" s="133" t="str">
        <f>IF(A165&lt;&gt;"",IF(COUNTIF(リレーチーム情報!$B$23:$B$28,A165&amp;E165)=1,"〇",""),"")</f>
        <v/>
      </c>
      <c r="M165" s="127">
        <f>IF(学校情報!$A$4&lt;&gt;"",0,IF(S164=0,MAX($M$109:M164)+1,M164))</f>
        <v>0</v>
      </c>
      <c r="N165" s="127" t="str">
        <f>IF(M165&lt;&gt;0,VLOOKUP(M165,選手情報!BI:BJ,2,FALSE),"")</f>
        <v/>
      </c>
      <c r="O165" s="127" t="str">
        <f ca="1">IF(M165&lt;&gt;0,VLOOKUP(N165,OFFSET(選手情報!$A$6:$W$119,IF(M165&lt;&gt;M164,0,R164),0),13,FALSE),"")</f>
        <v/>
      </c>
      <c r="P165" s="127" t="str">
        <f ca="1">IF(M165&lt;&gt;0,VLOOKUP(N165,OFFSET(選手情報!$A$6:$W$119,IF(M165&lt;&gt;M164,0,R164),0),16,FALSE),"")</f>
        <v/>
      </c>
      <c r="Q165" s="127" t="str">
        <f ca="1">IF(M165&lt;&gt;0,VLOOKUP(N165,OFFSET(選手情報!$A$6:$W$119,IF(M165&lt;&gt;M164,0,R164),0),21,FALSE),"")</f>
        <v/>
      </c>
      <c r="R165" s="127">
        <f ca="1">IF(M165&lt;&gt;0,VLOOKUP(N165,OFFSET(選手情報!$A$6:$BD$119,IF(M165&lt;&gt;M164,0,R164),0),56,FALSE),0)</f>
        <v>0</v>
      </c>
      <c r="S165" s="127">
        <f ca="1">IF(M165&lt;&gt;0,IF(ISNA(R165),0,COUNTIF(OFFSET(選手情報!$A$6:$A$119,R165,0),N165)),0)</f>
        <v>0</v>
      </c>
      <c r="U165" s="127">
        <f t="shared" si="16"/>
        <v>0</v>
      </c>
      <c r="V165" s="127">
        <f t="shared" ca="1" si="17"/>
        <v>1</v>
      </c>
      <c r="W165" s="127">
        <f t="shared" ca="1" si="12"/>
        <v>0</v>
      </c>
      <c r="X165" s="127" t="str">
        <f t="shared" ca="1" si="18"/>
        <v/>
      </c>
      <c r="Y165" s="127" t="str">
        <f>IF($A165&lt;&gt;"",IF(ISNA(VLOOKUP($N165,選手情報!$A$6:$M$119,13,FALSE)),"","/"&amp;VLOOKUP($N165,選手情報!$A$6:$M$119,13,FALSE)),"")</f>
        <v/>
      </c>
      <c r="Z165" s="127" t="str">
        <f ca="1">IF(Y165&lt;&gt;"",IF(ISNA(VLOOKUP($N165,OFFSET(選手情報!$A$6:$BD$119,0,0),56,FALSE)),"",VLOOKUP($N165,OFFSET(選手情報!$A$6:$BD$119,0,0),56,FALSE)),"")</f>
        <v/>
      </c>
      <c r="AA165" s="127" t="str">
        <f ca="1">IF(Z165&lt;&gt;"",IF(ISNA(VLOOKUP($N165,OFFSET(選手情報!$A$6:$M$119,Z165,0),13,FALSE)),"","/"&amp;VLOOKUP($N165,OFFSET(選手情報!$A$6:$M$119,Z165,0),13,FALSE)),"")</f>
        <v/>
      </c>
      <c r="AB165" s="127" t="str">
        <f ca="1">IF(Z165&lt;&gt;"",IF(ISNA(VLOOKUP($N165,OFFSET(選手情報!$A$6:$BD$119,Z165,0),56,FALSE)),"",VLOOKUP($N165,OFFSET(選手情報!$A$6:$BD$119,Z165,0),56,FALSE)),"")</f>
        <v/>
      </c>
      <c r="AC165" s="127" t="str">
        <f ca="1">IF(AB165&lt;&gt;"",IF(ISNA(VLOOKUP($N165,OFFSET(選手情報!$A$6:$M$119,AB165,0),13,FALSE)),"","/"&amp;VLOOKUP($N165,OFFSET(選手情報!$A$6:$M$119,AB165,0),13,FALSE)),"")</f>
        <v/>
      </c>
      <c r="AD165" s="127" t="str">
        <f ca="1">IF(AB165&lt;&gt;"",IF(ISNA(VLOOKUP($N165,OFFSET(選手情報!$A$6:$BD$119,AB165,0),56,FALSE)),"",VLOOKUP($N165,OFFSET(選手情報!$A$6:$BD$119,AB165,0),56,FALSE)),"")</f>
        <v/>
      </c>
      <c r="AE165" s="127" t="str">
        <f ca="1">IF(AD165&lt;&gt;"",IF(ISNA(VLOOKUP($N165,OFFSET(選手情報!$A$6:$M$119,AD165,0),13,FALSE)),"","/"&amp;VLOOKUP($N165,OFFSET(選手情報!$A$6:$M$119,AD165,0),13,FALSE)),"")</f>
        <v/>
      </c>
      <c r="AF165" s="127" t="str">
        <f ca="1">IF(AD165&lt;&gt;"",IF(ISNA(VLOOKUP($N165,OFFSET(選手情報!$A$6:$BD$119,AD165,0),56,FALSE)),"",VLOOKUP($N165,OFFSET(選手情報!$A$6:$BD$119,AD165,0),56,FALSE)),"")</f>
        <v/>
      </c>
      <c r="AG165" s="127" t="str">
        <f ca="1">IF(AF165&lt;&gt;"",IF(ISNA(VLOOKUP($N165,OFFSET(選手情報!$A$6:$M$119,AF165,0),13,FALSE)),"","/"&amp;VLOOKUP($N165,OFFSET(選手情報!$A$6:$M$119,AF165,0),13,FALSE)),"")</f>
        <v/>
      </c>
      <c r="AH165" s="127" t="str">
        <f ca="1">IF(AF165&lt;&gt;"",IF(ISNA(VLOOKUP($N165,OFFSET(選手情報!$A$6:$BD$119,AF165,0),56,FALSE)),"",VLOOKUP($N165,OFFSET(選手情報!$A$6:$BD$119,AF165,0),56,FALSE)),"")</f>
        <v/>
      </c>
      <c r="AI165" s="127" t="str">
        <f ca="1">IF(AH165&lt;&gt;"",IF(ISNA(VLOOKUP($N165,OFFSET(選手情報!$A$6:$M$119,AH165,0),13,FALSE)),"","/"&amp;VLOOKUP($N165,OFFSET(選手情報!$A$6:$M$119,AH165,0),13,FALSE)),"")</f>
        <v/>
      </c>
      <c r="AJ165" s="127" t="str">
        <f ca="1">IF(AH165&lt;&gt;"",IF(ISNA(VLOOKUP($N165,OFFSET(選手情報!$A$6:$BD$119,AH165,0),56,FALSE)),"",VLOOKUP($N165,OFFSET(選手情報!$A$6:$BD$119,AH165,0),56,FALSE)),"")</f>
        <v/>
      </c>
      <c r="AK165" s="127" t="str">
        <f ca="1">IF(AJ165&lt;&gt;"",IF(ISNA(VLOOKUP($N165,OFFSET(選手情報!$A$6:$M$119,AJ165,0),13,FALSE)),"","/"&amp;VLOOKUP($N165,OFFSET(選手情報!$A$6:$M$119,AJ165,0),13,FALSE)),"")</f>
        <v/>
      </c>
      <c r="AL165" s="127" t="str">
        <f ca="1">IF(AJ165&lt;&gt;"",IF(ISNA(VLOOKUP($N165,OFFSET(選手情報!$A$6:$BD$119,AJ165,0),56,FALSE)),"",VLOOKUP($N165,OFFSET(選手情報!$A$6:$BD$119,AJ165,0),56,FALSE)),"")</f>
        <v/>
      </c>
      <c r="AM165" s="127" t="str">
        <f ca="1">IF(AL165&lt;&gt;"",IF(ISNA(VLOOKUP($N165,OFFSET(選手情報!$A$6:$M$119,AL165,0),13,FALSE)),"","/"&amp;VLOOKUP($N165,OFFSET(選手情報!$A$6:$M$119,AL165,0),13,FALSE)),"")</f>
        <v/>
      </c>
      <c r="AN165" s="127" t="str">
        <f ca="1">IF(AL165&lt;&gt;"",IF(ISNA(VLOOKUP($N165,OFFSET(選手情報!$A$6:$BD$119,AL165,0),56,FALSE)),"",VLOOKUP($N165,OFFSET(選手情報!$A$6:$BD$119,AL165,0),56,FALSE)),"")</f>
        <v/>
      </c>
      <c r="AO165" s="127" t="str">
        <f ca="1">IF(AN165&lt;&gt;"",IF(ISNA(VLOOKUP($N165,OFFSET(選手情報!$A$6:$M$119,AN165,0),13,FALSE)),"","/"&amp;VLOOKUP($N165,OFFSET(選手情報!$A$6:$M$119,AN165,0),13,FALSE)),"")</f>
        <v/>
      </c>
      <c r="AP165" s="127" t="str">
        <f ca="1">IF(AN165&lt;&gt;"",IF(ISNA(VLOOKUP($N165,OFFSET(選手情報!$A$6:$BD$119,AN165,0),56,FALSE)),"",VLOOKUP($N165,OFFSET(選手情報!$A$6:$BD$119,AN165,0),56,FALSE)),"")</f>
        <v/>
      </c>
      <c r="AQ165" s="127" t="str">
        <f ca="1">IF(AP165&lt;&gt;"",IF(ISNA(VLOOKUP($N165,OFFSET(選手情報!$A$6:$M$119,AP165,0),13,FALSE)),"","/"&amp;VLOOKUP($N165,OFFSET(選手情報!$A$6:$M$119,AP165,0),13,FALSE)),"")</f>
        <v/>
      </c>
      <c r="AR165" s="127" t="str">
        <f ca="1">IF(AP165&lt;&gt;"",IF(ISNA(VLOOKUP($N165,OFFSET(選手情報!$A$6:$BD$119,AP165,0),56,FALSE)),"",VLOOKUP($N165,OFFSET(選手情報!$A$6:$BD$119,AP165,0),56,FALSE)),"")</f>
        <v/>
      </c>
      <c r="AS165" s="127" t="str">
        <f ca="1">IF(AR165&lt;&gt;"",IF(ISNA(VLOOKUP($N165,OFFSET(選手情報!$A$6:$M$119,AR165,0),13,FALSE)),"","/"&amp;VLOOKUP($N165,OFFSET(選手情報!$A$6:$M$119,AR165,0),13,FALSE)),"")</f>
        <v/>
      </c>
      <c r="AT165" s="127" t="str">
        <f ca="1">IF(AR165&lt;&gt;"",IF(ISNA(VLOOKUP($N165,OFFSET(選手情報!$A$6:$BD$119,AR165,0),56,FALSE)),"",VLOOKUP($N165,OFFSET(選手情報!$A$6:$BD$119,AR165,0),56,FALSE)),"")</f>
        <v/>
      </c>
      <c r="AU165" s="127" t="str">
        <f ca="1">IF(AT165&lt;&gt;"",IF(ISNA(VLOOKUP($N165,OFFSET(選手情報!$A$6:$M$119,AT165,0),13,FALSE)),"","/"&amp;VLOOKUP($N165,OFFSET(選手情報!$A$6:$M$119,AT165,0),13,FALSE)),"")</f>
        <v/>
      </c>
      <c r="AV165" s="127" t="str">
        <f ca="1">IF(AT165&lt;&gt;"",IF(ISNA(VLOOKUP($N165,OFFSET(選手情報!$A$6:$BD$119,AT165,0),56,FALSE)),"",VLOOKUP($N165,OFFSET(選手情報!$A$6:$BD$119,AT165,0),56,FALSE)),"")</f>
        <v/>
      </c>
      <c r="AW165" s="127" t="str">
        <f ca="1">IF(AV165&lt;&gt;"",IF(ISNA(VLOOKUP($N165,OFFSET(選手情報!$A$6:$M$119,AV165,0),13,FALSE)),"","/"&amp;VLOOKUP($N165,OFFSET(選手情報!$A$6:$M$119,AV165,0),13,FALSE)),"")</f>
        <v/>
      </c>
      <c r="AX165" s="127" t="str">
        <f ca="1">IF(AV165&lt;&gt;"",IF(ISNA(VLOOKUP($N165,OFFSET(選手情報!$A$6:$BD$119,AV165,0),56,FALSE)),"",VLOOKUP($N165,OFFSET(選手情報!$A$6:$BD$119,AV165,0),56,FALSE)),"")</f>
        <v/>
      </c>
      <c r="AY165" s="127" t="str">
        <f ca="1">IF(AX165&lt;&gt;"",IF(ISNA(VLOOKUP($N165,OFFSET(選手情報!$A$6:$M$119,AX165,0),13,FALSE)),"","/"&amp;VLOOKUP($N165,OFFSET(選手情報!$A$6:$M$119,AX165,0),13,FALSE)),"")</f>
        <v/>
      </c>
      <c r="AZ165" s="127" t="str">
        <f ca="1">IF(AX165&lt;&gt;"",IF(ISNA(VLOOKUP($N165,OFFSET(選手情報!$A$6:$BD$119,AX165,0),56,FALSE)),"",VLOOKUP($N165,OFFSET(選手情報!$A$6:$BD$119,AX165,0),56,FALSE)),"")</f>
        <v/>
      </c>
      <c r="BA165" s="127" t="str">
        <f ca="1">IF(AZ165&lt;&gt;"",IF(ISNA(VLOOKUP($N165,OFFSET(選手情報!$A$6:$M$119,AZ165,0),13,FALSE)),"","/"&amp;VLOOKUP($N165,OFFSET(選手情報!$A$6:$M$119,AZ165,0),13,FALSE)),"")</f>
        <v/>
      </c>
      <c r="BB165" s="127" t="str">
        <f ca="1">IF(AZ165&lt;&gt;"",IF(ISNA(VLOOKUP($N165,OFFSET(選手情報!$A$6:$BD$119,AZ165,0),56,FALSE)),"",VLOOKUP($N165,OFFSET(選手情報!$A$6:$BD$119,AZ165,0),56,FALSE)),"")</f>
        <v/>
      </c>
      <c r="BC165" s="127" t="str">
        <f ca="1">IF(BB165&lt;&gt;"",IF(ISNA(VLOOKUP($N165,OFFSET(選手情報!$A$6:$M$119,BB165,0),13,FALSE)),"","/"&amp;VLOOKUP($N165,OFFSET(選手情報!$A$6:$M$119,BB165,0),13,FALSE)),"")</f>
        <v/>
      </c>
      <c r="BD165" s="127" t="str">
        <f ca="1">IF(BB165&lt;&gt;"",IF(ISNA(VLOOKUP($N165,OFFSET(選手情報!$A$6:$BD$119,BB165,0),56,FALSE)),"",VLOOKUP($N165,OFFSET(選手情報!$A$6:$BD$119,BB165,0),56,FALSE)),"")</f>
        <v/>
      </c>
      <c r="BE165" s="127" t="str">
        <f ca="1">IF(BD165&lt;&gt;"",IF(ISNA(VLOOKUP($N165,OFFSET(選手情報!$A$6:$M$119,BD165,0),13,FALSE)),"","/"&amp;VLOOKUP($N165,OFFSET(選手情報!$A$6:$M$119,BD165,0),13,FALSE)),"")</f>
        <v/>
      </c>
      <c r="BF165" s="127" t="str">
        <f ca="1">IF(BD165&lt;&gt;"",IF(ISNA(VLOOKUP($N165,OFFSET(選手情報!$A$6:$BD$119,BD165,0),56,FALSE)),"",VLOOKUP($N165,OFFSET(選手情報!$A$6:$BD$119,BD165,0),56,FALSE)),"")</f>
        <v/>
      </c>
      <c r="BG165" s="127" t="str">
        <f ca="1">IF(BF165&lt;&gt;"",IF(ISNA(VLOOKUP($N165,OFFSET(選手情報!$A$6:$M$119,BF165,0),13,FALSE)),"","/"&amp;VLOOKUP($N165,OFFSET(選手情報!$A$6:$M$119,BF165,0),13,FALSE)),"")</f>
        <v/>
      </c>
      <c r="BH165" s="127" t="str">
        <f ca="1">IF(BF165&lt;&gt;"",IF(ISNA(VLOOKUP($N165,OFFSET(選手情報!$A$6:$BD$119,BF165,0),56,FALSE)),"",VLOOKUP($N165,OFFSET(選手情報!$A$6:$BD$119,BF165,0),56,FALSE)),"")</f>
        <v/>
      </c>
      <c r="BI165" s="127" t="str">
        <f ca="1">IF(BH165&lt;&gt;"",IF(ISNA(VLOOKUP($N165,OFFSET(選手情報!$A$6:$M$119,BH165,0),13,FALSE)),"","/"&amp;VLOOKUP($N165,OFFSET(選手情報!$A$6:$M$119,BH165,0),13,FALSE)),"")</f>
        <v/>
      </c>
    </row>
    <row r="166" spans="1:61" s="127" customFormat="1" ht="12.6" customHeight="1">
      <c r="A166" s="128" t="str">
        <f>IF(ISNA(VLOOKUP($C$2&amp;N166,選手データ!A:H,3,FALSE)),"",IF(M166&lt;&gt;M165,VLOOKUP($C$2&amp;N166,選手データ!A:H,3,FALSE),""))</f>
        <v/>
      </c>
      <c r="B166" s="129" t="str">
        <f>IF(A166&lt;&gt;"",VLOOKUP($C$2&amp;N166,選手データ!A:H,4,FALSE),"")</f>
        <v/>
      </c>
      <c r="C166" s="129" t="str">
        <f>IF(A166&lt;&gt;"",VLOOKUP($C$2&amp;N166,選手データ!A:H,5,FALSE),"")</f>
        <v/>
      </c>
      <c r="D166" s="129" t="str">
        <f>IF(A166&lt;&gt;"",VLOOKUP($C$2&amp;N166,選手データ!A:H,6,FALSE),"")</f>
        <v/>
      </c>
      <c r="E166" s="129" t="str">
        <f>IF(A166&lt;&gt;"",VLOOKUP($C$2&amp;N166,選手データ!A:H,7,FALSE),"")</f>
        <v/>
      </c>
      <c r="F166" s="130" t="str">
        <f>IF(A166&lt;&gt;"",VLOOKUP($C$2&amp;N166,選手データ!A:H,8,FALSE),"")</f>
        <v/>
      </c>
      <c r="G166" s="130" t="str">
        <f>IF(F166&lt;&gt;"",IF(DATEDIF(F166,設定!$B$12,"Y")&lt;20,"〇",""),"")</f>
        <v/>
      </c>
      <c r="H166" s="131" t="str">
        <f t="shared" ca="1" si="19"/>
        <v/>
      </c>
      <c r="I166" s="132" t="str">
        <f t="shared" ca="1" si="20"/>
        <v/>
      </c>
      <c r="J166" s="131" t="str">
        <f t="shared" ca="1" si="21"/>
        <v/>
      </c>
      <c r="K166" s="130" t="str">
        <f>IF(A166&lt;&gt;"",IF(COUNTIF(リレーチーム情報!$B$17:$B$22,A166&amp;E166)=1,"〇",""),"")</f>
        <v/>
      </c>
      <c r="L166" s="133" t="str">
        <f>IF(A166&lt;&gt;"",IF(COUNTIF(リレーチーム情報!$B$23:$B$28,A166&amp;E166)=1,"〇",""),"")</f>
        <v/>
      </c>
      <c r="M166" s="127">
        <f>IF(学校情報!$A$4&lt;&gt;"",0,IF(S165=0,MAX($M$109:M165)+1,M165))</f>
        <v>0</v>
      </c>
      <c r="N166" s="127" t="str">
        <f>IF(M166&lt;&gt;0,VLOOKUP(M166,選手情報!BI:BJ,2,FALSE),"")</f>
        <v/>
      </c>
      <c r="O166" s="127" t="str">
        <f ca="1">IF(M166&lt;&gt;0,VLOOKUP(N166,OFFSET(選手情報!$A$6:$W$119,IF(M166&lt;&gt;M165,0,R165),0),13,FALSE),"")</f>
        <v/>
      </c>
      <c r="P166" s="127" t="str">
        <f ca="1">IF(M166&lt;&gt;0,VLOOKUP(N166,OFFSET(選手情報!$A$6:$W$119,IF(M166&lt;&gt;M165,0,R165),0),16,FALSE),"")</f>
        <v/>
      </c>
      <c r="Q166" s="127" t="str">
        <f ca="1">IF(M166&lt;&gt;0,VLOOKUP(N166,OFFSET(選手情報!$A$6:$W$119,IF(M166&lt;&gt;M165,0,R165),0),21,FALSE),"")</f>
        <v/>
      </c>
      <c r="R166" s="127">
        <f ca="1">IF(M166&lt;&gt;0,VLOOKUP(N166,OFFSET(選手情報!$A$6:$BD$119,IF(M166&lt;&gt;M165,0,R165),0),56,FALSE),0)</f>
        <v>0</v>
      </c>
      <c r="S166" s="127">
        <f ca="1">IF(M166&lt;&gt;0,IF(ISNA(R166),0,COUNTIF(OFFSET(選手情報!$A$6:$A$119,R166,0),N166)),0)</f>
        <v>0</v>
      </c>
      <c r="U166" s="127">
        <f t="shared" si="16"/>
        <v>0</v>
      </c>
      <c r="V166" s="127">
        <f t="shared" ca="1" si="17"/>
        <v>1</v>
      </c>
      <c r="W166" s="127">
        <f t="shared" ca="1" si="12"/>
        <v>0</v>
      </c>
      <c r="X166" s="127" t="str">
        <f t="shared" ca="1" si="18"/>
        <v/>
      </c>
      <c r="Y166" s="127" t="str">
        <f>IF($A166&lt;&gt;"",IF(ISNA(VLOOKUP($N166,選手情報!$A$6:$M$119,13,FALSE)),"","/"&amp;VLOOKUP($N166,選手情報!$A$6:$M$119,13,FALSE)),"")</f>
        <v/>
      </c>
      <c r="Z166" s="127" t="str">
        <f ca="1">IF(Y166&lt;&gt;"",IF(ISNA(VLOOKUP($N166,OFFSET(選手情報!$A$6:$BD$119,0,0),56,FALSE)),"",VLOOKUP($N166,OFFSET(選手情報!$A$6:$BD$119,0,0),56,FALSE)),"")</f>
        <v/>
      </c>
      <c r="AA166" s="127" t="str">
        <f ca="1">IF(Z166&lt;&gt;"",IF(ISNA(VLOOKUP($N166,OFFSET(選手情報!$A$6:$M$119,Z166,0),13,FALSE)),"","/"&amp;VLOOKUP($N166,OFFSET(選手情報!$A$6:$M$119,Z166,0),13,FALSE)),"")</f>
        <v/>
      </c>
      <c r="AB166" s="127" t="str">
        <f ca="1">IF(Z166&lt;&gt;"",IF(ISNA(VLOOKUP($N166,OFFSET(選手情報!$A$6:$BD$119,Z166,0),56,FALSE)),"",VLOOKUP($N166,OFFSET(選手情報!$A$6:$BD$119,Z166,0),56,FALSE)),"")</f>
        <v/>
      </c>
      <c r="AC166" s="127" t="str">
        <f ca="1">IF(AB166&lt;&gt;"",IF(ISNA(VLOOKUP($N166,OFFSET(選手情報!$A$6:$M$119,AB166,0),13,FALSE)),"","/"&amp;VLOOKUP($N166,OFFSET(選手情報!$A$6:$M$119,AB166,0),13,FALSE)),"")</f>
        <v/>
      </c>
      <c r="AD166" s="127" t="str">
        <f ca="1">IF(AB166&lt;&gt;"",IF(ISNA(VLOOKUP($N166,OFFSET(選手情報!$A$6:$BD$119,AB166,0),56,FALSE)),"",VLOOKUP($N166,OFFSET(選手情報!$A$6:$BD$119,AB166,0),56,FALSE)),"")</f>
        <v/>
      </c>
      <c r="AE166" s="127" t="str">
        <f ca="1">IF(AD166&lt;&gt;"",IF(ISNA(VLOOKUP($N166,OFFSET(選手情報!$A$6:$M$119,AD166,0),13,FALSE)),"","/"&amp;VLOOKUP($N166,OFFSET(選手情報!$A$6:$M$119,AD166,0),13,FALSE)),"")</f>
        <v/>
      </c>
      <c r="AF166" s="127" t="str">
        <f ca="1">IF(AD166&lt;&gt;"",IF(ISNA(VLOOKUP($N166,OFFSET(選手情報!$A$6:$BD$119,AD166,0),56,FALSE)),"",VLOOKUP($N166,OFFSET(選手情報!$A$6:$BD$119,AD166,0),56,FALSE)),"")</f>
        <v/>
      </c>
      <c r="AG166" s="127" t="str">
        <f ca="1">IF(AF166&lt;&gt;"",IF(ISNA(VLOOKUP($N166,OFFSET(選手情報!$A$6:$M$119,AF166,0),13,FALSE)),"","/"&amp;VLOOKUP($N166,OFFSET(選手情報!$A$6:$M$119,AF166,0),13,FALSE)),"")</f>
        <v/>
      </c>
      <c r="AH166" s="127" t="str">
        <f ca="1">IF(AF166&lt;&gt;"",IF(ISNA(VLOOKUP($N166,OFFSET(選手情報!$A$6:$BD$119,AF166,0),56,FALSE)),"",VLOOKUP($N166,OFFSET(選手情報!$A$6:$BD$119,AF166,0),56,FALSE)),"")</f>
        <v/>
      </c>
      <c r="AI166" s="127" t="str">
        <f ca="1">IF(AH166&lt;&gt;"",IF(ISNA(VLOOKUP($N166,OFFSET(選手情報!$A$6:$M$119,AH166,0),13,FALSE)),"","/"&amp;VLOOKUP($N166,OFFSET(選手情報!$A$6:$M$119,AH166,0),13,FALSE)),"")</f>
        <v/>
      </c>
      <c r="AJ166" s="127" t="str">
        <f ca="1">IF(AH166&lt;&gt;"",IF(ISNA(VLOOKUP($N166,OFFSET(選手情報!$A$6:$BD$119,AH166,0),56,FALSE)),"",VLOOKUP($N166,OFFSET(選手情報!$A$6:$BD$119,AH166,0),56,FALSE)),"")</f>
        <v/>
      </c>
      <c r="AK166" s="127" t="str">
        <f ca="1">IF(AJ166&lt;&gt;"",IF(ISNA(VLOOKUP($N166,OFFSET(選手情報!$A$6:$M$119,AJ166,0),13,FALSE)),"","/"&amp;VLOOKUP($N166,OFFSET(選手情報!$A$6:$M$119,AJ166,0),13,FALSE)),"")</f>
        <v/>
      </c>
      <c r="AL166" s="127" t="str">
        <f ca="1">IF(AJ166&lt;&gt;"",IF(ISNA(VLOOKUP($N166,OFFSET(選手情報!$A$6:$BD$119,AJ166,0),56,FALSE)),"",VLOOKUP($N166,OFFSET(選手情報!$A$6:$BD$119,AJ166,0),56,FALSE)),"")</f>
        <v/>
      </c>
      <c r="AM166" s="127" t="str">
        <f ca="1">IF(AL166&lt;&gt;"",IF(ISNA(VLOOKUP($N166,OFFSET(選手情報!$A$6:$M$119,AL166,0),13,FALSE)),"","/"&amp;VLOOKUP($N166,OFFSET(選手情報!$A$6:$M$119,AL166,0),13,FALSE)),"")</f>
        <v/>
      </c>
      <c r="AN166" s="127" t="str">
        <f ca="1">IF(AL166&lt;&gt;"",IF(ISNA(VLOOKUP($N166,OFFSET(選手情報!$A$6:$BD$119,AL166,0),56,FALSE)),"",VLOOKUP($N166,OFFSET(選手情報!$A$6:$BD$119,AL166,0),56,FALSE)),"")</f>
        <v/>
      </c>
      <c r="AO166" s="127" t="str">
        <f ca="1">IF(AN166&lt;&gt;"",IF(ISNA(VLOOKUP($N166,OFFSET(選手情報!$A$6:$M$119,AN166,0),13,FALSE)),"","/"&amp;VLOOKUP($N166,OFFSET(選手情報!$A$6:$M$119,AN166,0),13,FALSE)),"")</f>
        <v/>
      </c>
      <c r="AP166" s="127" t="str">
        <f ca="1">IF(AN166&lt;&gt;"",IF(ISNA(VLOOKUP($N166,OFFSET(選手情報!$A$6:$BD$119,AN166,0),56,FALSE)),"",VLOOKUP($N166,OFFSET(選手情報!$A$6:$BD$119,AN166,0),56,FALSE)),"")</f>
        <v/>
      </c>
      <c r="AQ166" s="127" t="str">
        <f ca="1">IF(AP166&lt;&gt;"",IF(ISNA(VLOOKUP($N166,OFFSET(選手情報!$A$6:$M$119,AP166,0),13,FALSE)),"","/"&amp;VLOOKUP($N166,OFFSET(選手情報!$A$6:$M$119,AP166,0),13,FALSE)),"")</f>
        <v/>
      </c>
      <c r="AR166" s="127" t="str">
        <f ca="1">IF(AP166&lt;&gt;"",IF(ISNA(VLOOKUP($N166,OFFSET(選手情報!$A$6:$BD$119,AP166,0),56,FALSE)),"",VLOOKUP($N166,OFFSET(選手情報!$A$6:$BD$119,AP166,0),56,FALSE)),"")</f>
        <v/>
      </c>
      <c r="AS166" s="127" t="str">
        <f ca="1">IF(AR166&lt;&gt;"",IF(ISNA(VLOOKUP($N166,OFFSET(選手情報!$A$6:$M$119,AR166,0),13,FALSE)),"","/"&amp;VLOOKUP($N166,OFFSET(選手情報!$A$6:$M$119,AR166,0),13,FALSE)),"")</f>
        <v/>
      </c>
      <c r="AT166" s="127" t="str">
        <f ca="1">IF(AR166&lt;&gt;"",IF(ISNA(VLOOKUP($N166,OFFSET(選手情報!$A$6:$BD$119,AR166,0),56,FALSE)),"",VLOOKUP($N166,OFFSET(選手情報!$A$6:$BD$119,AR166,0),56,FALSE)),"")</f>
        <v/>
      </c>
      <c r="AU166" s="127" t="str">
        <f ca="1">IF(AT166&lt;&gt;"",IF(ISNA(VLOOKUP($N166,OFFSET(選手情報!$A$6:$M$119,AT166,0),13,FALSE)),"","/"&amp;VLOOKUP($N166,OFFSET(選手情報!$A$6:$M$119,AT166,0),13,FALSE)),"")</f>
        <v/>
      </c>
      <c r="AV166" s="127" t="str">
        <f ca="1">IF(AT166&lt;&gt;"",IF(ISNA(VLOOKUP($N166,OFFSET(選手情報!$A$6:$BD$119,AT166,0),56,FALSE)),"",VLOOKUP($N166,OFFSET(選手情報!$A$6:$BD$119,AT166,0),56,FALSE)),"")</f>
        <v/>
      </c>
      <c r="AW166" s="127" t="str">
        <f ca="1">IF(AV166&lt;&gt;"",IF(ISNA(VLOOKUP($N166,OFFSET(選手情報!$A$6:$M$119,AV166,0),13,FALSE)),"","/"&amp;VLOOKUP($N166,OFFSET(選手情報!$A$6:$M$119,AV166,0),13,FALSE)),"")</f>
        <v/>
      </c>
      <c r="AX166" s="127" t="str">
        <f ca="1">IF(AV166&lt;&gt;"",IF(ISNA(VLOOKUP($N166,OFFSET(選手情報!$A$6:$BD$119,AV166,0),56,FALSE)),"",VLOOKUP($N166,OFFSET(選手情報!$A$6:$BD$119,AV166,0),56,FALSE)),"")</f>
        <v/>
      </c>
      <c r="AY166" s="127" t="str">
        <f ca="1">IF(AX166&lt;&gt;"",IF(ISNA(VLOOKUP($N166,OFFSET(選手情報!$A$6:$M$119,AX166,0),13,FALSE)),"","/"&amp;VLOOKUP($N166,OFFSET(選手情報!$A$6:$M$119,AX166,0),13,FALSE)),"")</f>
        <v/>
      </c>
      <c r="AZ166" s="127" t="str">
        <f ca="1">IF(AX166&lt;&gt;"",IF(ISNA(VLOOKUP($N166,OFFSET(選手情報!$A$6:$BD$119,AX166,0),56,FALSE)),"",VLOOKUP($N166,OFFSET(選手情報!$A$6:$BD$119,AX166,0),56,FALSE)),"")</f>
        <v/>
      </c>
      <c r="BA166" s="127" t="str">
        <f ca="1">IF(AZ166&lt;&gt;"",IF(ISNA(VLOOKUP($N166,OFFSET(選手情報!$A$6:$M$119,AZ166,0),13,FALSE)),"","/"&amp;VLOOKUP($N166,OFFSET(選手情報!$A$6:$M$119,AZ166,0),13,FALSE)),"")</f>
        <v/>
      </c>
      <c r="BB166" s="127" t="str">
        <f ca="1">IF(AZ166&lt;&gt;"",IF(ISNA(VLOOKUP($N166,OFFSET(選手情報!$A$6:$BD$119,AZ166,0),56,FALSE)),"",VLOOKUP($N166,OFFSET(選手情報!$A$6:$BD$119,AZ166,0),56,FALSE)),"")</f>
        <v/>
      </c>
      <c r="BC166" s="127" t="str">
        <f ca="1">IF(BB166&lt;&gt;"",IF(ISNA(VLOOKUP($N166,OFFSET(選手情報!$A$6:$M$119,BB166,0),13,FALSE)),"","/"&amp;VLOOKUP($N166,OFFSET(選手情報!$A$6:$M$119,BB166,0),13,FALSE)),"")</f>
        <v/>
      </c>
      <c r="BD166" s="127" t="str">
        <f ca="1">IF(BB166&lt;&gt;"",IF(ISNA(VLOOKUP($N166,OFFSET(選手情報!$A$6:$BD$119,BB166,0),56,FALSE)),"",VLOOKUP($N166,OFFSET(選手情報!$A$6:$BD$119,BB166,0),56,FALSE)),"")</f>
        <v/>
      </c>
      <c r="BE166" s="127" t="str">
        <f ca="1">IF(BD166&lt;&gt;"",IF(ISNA(VLOOKUP($N166,OFFSET(選手情報!$A$6:$M$119,BD166,0),13,FALSE)),"","/"&amp;VLOOKUP($N166,OFFSET(選手情報!$A$6:$M$119,BD166,0),13,FALSE)),"")</f>
        <v/>
      </c>
      <c r="BF166" s="127" t="str">
        <f ca="1">IF(BD166&lt;&gt;"",IF(ISNA(VLOOKUP($N166,OFFSET(選手情報!$A$6:$BD$119,BD166,0),56,FALSE)),"",VLOOKUP($N166,OFFSET(選手情報!$A$6:$BD$119,BD166,0),56,FALSE)),"")</f>
        <v/>
      </c>
      <c r="BG166" s="127" t="str">
        <f ca="1">IF(BF166&lt;&gt;"",IF(ISNA(VLOOKUP($N166,OFFSET(選手情報!$A$6:$M$119,BF166,0),13,FALSE)),"","/"&amp;VLOOKUP($N166,OFFSET(選手情報!$A$6:$M$119,BF166,0),13,FALSE)),"")</f>
        <v/>
      </c>
      <c r="BH166" s="127" t="str">
        <f ca="1">IF(BF166&lt;&gt;"",IF(ISNA(VLOOKUP($N166,OFFSET(選手情報!$A$6:$BD$119,BF166,0),56,FALSE)),"",VLOOKUP($N166,OFFSET(選手情報!$A$6:$BD$119,BF166,0),56,FALSE)),"")</f>
        <v/>
      </c>
      <c r="BI166" s="127" t="str">
        <f ca="1">IF(BH166&lt;&gt;"",IF(ISNA(VLOOKUP($N166,OFFSET(選手情報!$A$6:$M$119,BH166,0),13,FALSE)),"","/"&amp;VLOOKUP($N166,OFFSET(選手情報!$A$6:$M$119,BH166,0),13,FALSE)),"")</f>
        <v/>
      </c>
    </row>
    <row r="167" spans="1:61" s="127" customFormat="1" ht="12.6" customHeight="1">
      <c r="A167" s="128" t="str">
        <f>IF(ISNA(VLOOKUP($C$2&amp;N167,選手データ!A:H,3,FALSE)),"",IF(M167&lt;&gt;M166,VLOOKUP($C$2&amp;N167,選手データ!A:H,3,FALSE),""))</f>
        <v/>
      </c>
      <c r="B167" s="129" t="str">
        <f>IF(A167&lt;&gt;"",VLOOKUP($C$2&amp;N167,選手データ!A:H,4,FALSE),"")</f>
        <v/>
      </c>
      <c r="C167" s="129" t="str">
        <f>IF(A167&lt;&gt;"",VLOOKUP($C$2&amp;N167,選手データ!A:H,5,FALSE),"")</f>
        <v/>
      </c>
      <c r="D167" s="129" t="str">
        <f>IF(A167&lt;&gt;"",VLOOKUP($C$2&amp;N167,選手データ!A:H,6,FALSE),"")</f>
        <v/>
      </c>
      <c r="E167" s="129" t="str">
        <f>IF(A167&lt;&gt;"",VLOOKUP($C$2&amp;N167,選手データ!A:H,7,FALSE),"")</f>
        <v/>
      </c>
      <c r="F167" s="130" t="str">
        <f>IF(A167&lt;&gt;"",VLOOKUP($C$2&amp;N167,選手データ!A:H,8,FALSE),"")</f>
        <v/>
      </c>
      <c r="G167" s="130" t="str">
        <f>IF(F167&lt;&gt;"",IF(DATEDIF(F167,設定!$B$12,"Y")&lt;20,"〇",""),"")</f>
        <v/>
      </c>
      <c r="H167" s="131" t="str">
        <f t="shared" ca="1" si="19"/>
        <v/>
      </c>
      <c r="I167" s="132" t="str">
        <f t="shared" ca="1" si="20"/>
        <v/>
      </c>
      <c r="J167" s="131" t="str">
        <f t="shared" ca="1" si="21"/>
        <v/>
      </c>
      <c r="K167" s="130" t="str">
        <f>IF(A167&lt;&gt;"",IF(COUNTIF(リレーチーム情報!$B$17:$B$22,A167&amp;E167)=1,"〇",""),"")</f>
        <v/>
      </c>
      <c r="L167" s="133" t="str">
        <f>IF(A167&lt;&gt;"",IF(COUNTIF(リレーチーム情報!$B$23:$B$28,A167&amp;E167)=1,"〇",""),"")</f>
        <v/>
      </c>
      <c r="M167" s="127">
        <f>IF(学校情報!$A$4&lt;&gt;"",0,IF(S166=0,MAX($M$109:M166)+1,M166))</f>
        <v>0</v>
      </c>
      <c r="N167" s="127" t="str">
        <f>IF(M167&lt;&gt;0,VLOOKUP(M167,選手情報!BI:BJ,2,FALSE),"")</f>
        <v/>
      </c>
      <c r="O167" s="127" t="str">
        <f ca="1">IF(M167&lt;&gt;0,VLOOKUP(N167,OFFSET(選手情報!$A$6:$W$119,IF(M167&lt;&gt;M166,0,R166),0),13,FALSE),"")</f>
        <v/>
      </c>
      <c r="P167" s="127" t="str">
        <f ca="1">IF(M167&lt;&gt;0,VLOOKUP(N167,OFFSET(選手情報!$A$6:$W$119,IF(M167&lt;&gt;M166,0,R166),0),16,FALSE),"")</f>
        <v/>
      </c>
      <c r="Q167" s="127" t="str">
        <f ca="1">IF(M167&lt;&gt;0,VLOOKUP(N167,OFFSET(選手情報!$A$6:$W$119,IF(M167&lt;&gt;M166,0,R166),0),21,FALSE),"")</f>
        <v/>
      </c>
      <c r="R167" s="127">
        <f ca="1">IF(M167&lt;&gt;0,VLOOKUP(N167,OFFSET(選手情報!$A$6:$BD$119,IF(M167&lt;&gt;M166,0,R166),0),56,FALSE),0)</f>
        <v>0</v>
      </c>
      <c r="S167" s="127">
        <f ca="1">IF(M167&lt;&gt;0,IF(ISNA(R167),0,COUNTIF(OFFSET(選手情報!$A$6:$A$119,R167,0),N167)),0)</f>
        <v>0</v>
      </c>
      <c r="U167" s="127">
        <f t="shared" si="16"/>
        <v>0</v>
      </c>
      <c r="V167" s="127">
        <f t="shared" ca="1" si="17"/>
        <v>1</v>
      </c>
      <c r="W167" s="127">
        <f t="shared" ca="1" si="12"/>
        <v>0</v>
      </c>
      <c r="X167" s="127" t="str">
        <f t="shared" ca="1" si="18"/>
        <v/>
      </c>
      <c r="Y167" s="127" t="str">
        <f>IF($A167&lt;&gt;"",IF(ISNA(VLOOKUP($N167,選手情報!$A$6:$M$119,13,FALSE)),"","/"&amp;VLOOKUP($N167,選手情報!$A$6:$M$119,13,FALSE)),"")</f>
        <v/>
      </c>
      <c r="Z167" s="127" t="str">
        <f ca="1">IF(Y167&lt;&gt;"",IF(ISNA(VLOOKUP($N167,OFFSET(選手情報!$A$6:$BD$119,0,0),56,FALSE)),"",VLOOKUP($N167,OFFSET(選手情報!$A$6:$BD$119,0,0),56,FALSE)),"")</f>
        <v/>
      </c>
      <c r="AA167" s="127" t="str">
        <f ca="1">IF(Z167&lt;&gt;"",IF(ISNA(VLOOKUP($N167,OFFSET(選手情報!$A$6:$M$119,Z167,0),13,FALSE)),"","/"&amp;VLOOKUP($N167,OFFSET(選手情報!$A$6:$M$119,Z167,0),13,FALSE)),"")</f>
        <v/>
      </c>
      <c r="AB167" s="127" t="str">
        <f ca="1">IF(Z167&lt;&gt;"",IF(ISNA(VLOOKUP($N167,OFFSET(選手情報!$A$6:$BD$119,Z167,0),56,FALSE)),"",VLOOKUP($N167,OFFSET(選手情報!$A$6:$BD$119,Z167,0),56,FALSE)),"")</f>
        <v/>
      </c>
      <c r="AC167" s="127" t="str">
        <f ca="1">IF(AB167&lt;&gt;"",IF(ISNA(VLOOKUP($N167,OFFSET(選手情報!$A$6:$M$119,AB167,0),13,FALSE)),"","/"&amp;VLOOKUP($N167,OFFSET(選手情報!$A$6:$M$119,AB167,0),13,FALSE)),"")</f>
        <v/>
      </c>
      <c r="AD167" s="127" t="str">
        <f ca="1">IF(AB167&lt;&gt;"",IF(ISNA(VLOOKUP($N167,OFFSET(選手情報!$A$6:$BD$119,AB167,0),56,FALSE)),"",VLOOKUP($N167,OFFSET(選手情報!$A$6:$BD$119,AB167,0),56,FALSE)),"")</f>
        <v/>
      </c>
      <c r="AE167" s="127" t="str">
        <f ca="1">IF(AD167&lt;&gt;"",IF(ISNA(VLOOKUP($N167,OFFSET(選手情報!$A$6:$M$119,AD167,0),13,FALSE)),"","/"&amp;VLOOKUP($N167,OFFSET(選手情報!$A$6:$M$119,AD167,0),13,FALSE)),"")</f>
        <v/>
      </c>
      <c r="AF167" s="127" t="str">
        <f ca="1">IF(AD167&lt;&gt;"",IF(ISNA(VLOOKUP($N167,OFFSET(選手情報!$A$6:$BD$119,AD167,0),56,FALSE)),"",VLOOKUP($N167,OFFSET(選手情報!$A$6:$BD$119,AD167,0),56,FALSE)),"")</f>
        <v/>
      </c>
      <c r="AG167" s="127" t="str">
        <f ca="1">IF(AF167&lt;&gt;"",IF(ISNA(VLOOKUP($N167,OFFSET(選手情報!$A$6:$M$119,AF167,0),13,FALSE)),"","/"&amp;VLOOKUP($N167,OFFSET(選手情報!$A$6:$M$119,AF167,0),13,FALSE)),"")</f>
        <v/>
      </c>
      <c r="AH167" s="127" t="str">
        <f ca="1">IF(AF167&lt;&gt;"",IF(ISNA(VLOOKUP($N167,OFFSET(選手情報!$A$6:$BD$119,AF167,0),56,FALSE)),"",VLOOKUP($N167,OFFSET(選手情報!$A$6:$BD$119,AF167,0),56,FALSE)),"")</f>
        <v/>
      </c>
      <c r="AI167" s="127" t="str">
        <f ca="1">IF(AH167&lt;&gt;"",IF(ISNA(VLOOKUP($N167,OFFSET(選手情報!$A$6:$M$119,AH167,0),13,FALSE)),"","/"&amp;VLOOKUP($N167,OFFSET(選手情報!$A$6:$M$119,AH167,0),13,FALSE)),"")</f>
        <v/>
      </c>
      <c r="AJ167" s="127" t="str">
        <f ca="1">IF(AH167&lt;&gt;"",IF(ISNA(VLOOKUP($N167,OFFSET(選手情報!$A$6:$BD$119,AH167,0),56,FALSE)),"",VLOOKUP($N167,OFFSET(選手情報!$A$6:$BD$119,AH167,0),56,FALSE)),"")</f>
        <v/>
      </c>
      <c r="AK167" s="127" t="str">
        <f ca="1">IF(AJ167&lt;&gt;"",IF(ISNA(VLOOKUP($N167,OFFSET(選手情報!$A$6:$M$119,AJ167,0),13,FALSE)),"","/"&amp;VLOOKUP($N167,OFFSET(選手情報!$A$6:$M$119,AJ167,0),13,FALSE)),"")</f>
        <v/>
      </c>
      <c r="AL167" s="127" t="str">
        <f ca="1">IF(AJ167&lt;&gt;"",IF(ISNA(VLOOKUP($N167,OFFSET(選手情報!$A$6:$BD$119,AJ167,0),56,FALSE)),"",VLOOKUP($N167,OFFSET(選手情報!$A$6:$BD$119,AJ167,0),56,FALSE)),"")</f>
        <v/>
      </c>
      <c r="AM167" s="127" t="str">
        <f ca="1">IF(AL167&lt;&gt;"",IF(ISNA(VLOOKUP($N167,OFFSET(選手情報!$A$6:$M$119,AL167,0),13,FALSE)),"","/"&amp;VLOOKUP($N167,OFFSET(選手情報!$A$6:$M$119,AL167,0),13,FALSE)),"")</f>
        <v/>
      </c>
      <c r="AN167" s="127" t="str">
        <f ca="1">IF(AL167&lt;&gt;"",IF(ISNA(VLOOKUP($N167,OFFSET(選手情報!$A$6:$BD$119,AL167,0),56,FALSE)),"",VLOOKUP($N167,OFFSET(選手情報!$A$6:$BD$119,AL167,0),56,FALSE)),"")</f>
        <v/>
      </c>
      <c r="AO167" s="127" t="str">
        <f ca="1">IF(AN167&lt;&gt;"",IF(ISNA(VLOOKUP($N167,OFFSET(選手情報!$A$6:$M$119,AN167,0),13,FALSE)),"","/"&amp;VLOOKUP($N167,OFFSET(選手情報!$A$6:$M$119,AN167,0),13,FALSE)),"")</f>
        <v/>
      </c>
      <c r="AP167" s="127" t="str">
        <f ca="1">IF(AN167&lt;&gt;"",IF(ISNA(VLOOKUP($N167,OFFSET(選手情報!$A$6:$BD$119,AN167,0),56,FALSE)),"",VLOOKUP($N167,OFFSET(選手情報!$A$6:$BD$119,AN167,0),56,FALSE)),"")</f>
        <v/>
      </c>
      <c r="AQ167" s="127" t="str">
        <f ca="1">IF(AP167&lt;&gt;"",IF(ISNA(VLOOKUP($N167,OFFSET(選手情報!$A$6:$M$119,AP167,0),13,FALSE)),"","/"&amp;VLOOKUP($N167,OFFSET(選手情報!$A$6:$M$119,AP167,0),13,FALSE)),"")</f>
        <v/>
      </c>
      <c r="AR167" s="127" t="str">
        <f ca="1">IF(AP167&lt;&gt;"",IF(ISNA(VLOOKUP($N167,OFFSET(選手情報!$A$6:$BD$119,AP167,0),56,FALSE)),"",VLOOKUP($N167,OFFSET(選手情報!$A$6:$BD$119,AP167,0),56,FALSE)),"")</f>
        <v/>
      </c>
      <c r="AS167" s="127" t="str">
        <f ca="1">IF(AR167&lt;&gt;"",IF(ISNA(VLOOKUP($N167,OFFSET(選手情報!$A$6:$M$119,AR167,0),13,FALSE)),"","/"&amp;VLOOKUP($N167,OFFSET(選手情報!$A$6:$M$119,AR167,0),13,FALSE)),"")</f>
        <v/>
      </c>
      <c r="AT167" s="127" t="str">
        <f ca="1">IF(AR167&lt;&gt;"",IF(ISNA(VLOOKUP($N167,OFFSET(選手情報!$A$6:$BD$119,AR167,0),56,FALSE)),"",VLOOKUP($N167,OFFSET(選手情報!$A$6:$BD$119,AR167,0),56,FALSE)),"")</f>
        <v/>
      </c>
      <c r="AU167" s="127" t="str">
        <f ca="1">IF(AT167&lt;&gt;"",IF(ISNA(VLOOKUP($N167,OFFSET(選手情報!$A$6:$M$119,AT167,0),13,FALSE)),"","/"&amp;VLOOKUP($N167,OFFSET(選手情報!$A$6:$M$119,AT167,0),13,FALSE)),"")</f>
        <v/>
      </c>
      <c r="AV167" s="127" t="str">
        <f ca="1">IF(AT167&lt;&gt;"",IF(ISNA(VLOOKUP($N167,OFFSET(選手情報!$A$6:$BD$119,AT167,0),56,FALSE)),"",VLOOKUP($N167,OFFSET(選手情報!$A$6:$BD$119,AT167,0),56,FALSE)),"")</f>
        <v/>
      </c>
      <c r="AW167" s="127" t="str">
        <f ca="1">IF(AV167&lt;&gt;"",IF(ISNA(VLOOKUP($N167,OFFSET(選手情報!$A$6:$M$119,AV167,0),13,FALSE)),"","/"&amp;VLOOKUP($N167,OFFSET(選手情報!$A$6:$M$119,AV167,0),13,FALSE)),"")</f>
        <v/>
      </c>
      <c r="AX167" s="127" t="str">
        <f ca="1">IF(AV167&lt;&gt;"",IF(ISNA(VLOOKUP($N167,OFFSET(選手情報!$A$6:$BD$119,AV167,0),56,FALSE)),"",VLOOKUP($N167,OFFSET(選手情報!$A$6:$BD$119,AV167,0),56,FALSE)),"")</f>
        <v/>
      </c>
      <c r="AY167" s="127" t="str">
        <f ca="1">IF(AX167&lt;&gt;"",IF(ISNA(VLOOKUP($N167,OFFSET(選手情報!$A$6:$M$119,AX167,0),13,FALSE)),"","/"&amp;VLOOKUP($N167,OFFSET(選手情報!$A$6:$M$119,AX167,0),13,FALSE)),"")</f>
        <v/>
      </c>
      <c r="AZ167" s="127" t="str">
        <f ca="1">IF(AX167&lt;&gt;"",IF(ISNA(VLOOKUP($N167,OFFSET(選手情報!$A$6:$BD$119,AX167,0),56,FALSE)),"",VLOOKUP($N167,OFFSET(選手情報!$A$6:$BD$119,AX167,0),56,FALSE)),"")</f>
        <v/>
      </c>
      <c r="BA167" s="127" t="str">
        <f ca="1">IF(AZ167&lt;&gt;"",IF(ISNA(VLOOKUP($N167,OFFSET(選手情報!$A$6:$M$119,AZ167,0),13,FALSE)),"","/"&amp;VLOOKUP($N167,OFFSET(選手情報!$A$6:$M$119,AZ167,0),13,FALSE)),"")</f>
        <v/>
      </c>
      <c r="BB167" s="127" t="str">
        <f ca="1">IF(AZ167&lt;&gt;"",IF(ISNA(VLOOKUP($N167,OFFSET(選手情報!$A$6:$BD$119,AZ167,0),56,FALSE)),"",VLOOKUP($N167,OFFSET(選手情報!$A$6:$BD$119,AZ167,0),56,FALSE)),"")</f>
        <v/>
      </c>
      <c r="BC167" s="127" t="str">
        <f ca="1">IF(BB167&lt;&gt;"",IF(ISNA(VLOOKUP($N167,OFFSET(選手情報!$A$6:$M$119,BB167,0),13,FALSE)),"","/"&amp;VLOOKUP($N167,OFFSET(選手情報!$A$6:$M$119,BB167,0),13,FALSE)),"")</f>
        <v/>
      </c>
      <c r="BD167" s="127" t="str">
        <f ca="1">IF(BB167&lt;&gt;"",IF(ISNA(VLOOKUP($N167,OFFSET(選手情報!$A$6:$BD$119,BB167,0),56,FALSE)),"",VLOOKUP($N167,OFFSET(選手情報!$A$6:$BD$119,BB167,0),56,FALSE)),"")</f>
        <v/>
      </c>
      <c r="BE167" s="127" t="str">
        <f ca="1">IF(BD167&lt;&gt;"",IF(ISNA(VLOOKUP($N167,OFFSET(選手情報!$A$6:$M$119,BD167,0),13,FALSE)),"","/"&amp;VLOOKUP($N167,OFFSET(選手情報!$A$6:$M$119,BD167,0),13,FALSE)),"")</f>
        <v/>
      </c>
      <c r="BF167" s="127" t="str">
        <f ca="1">IF(BD167&lt;&gt;"",IF(ISNA(VLOOKUP($N167,OFFSET(選手情報!$A$6:$BD$119,BD167,0),56,FALSE)),"",VLOOKUP($N167,OFFSET(選手情報!$A$6:$BD$119,BD167,0),56,FALSE)),"")</f>
        <v/>
      </c>
      <c r="BG167" s="127" t="str">
        <f ca="1">IF(BF167&lt;&gt;"",IF(ISNA(VLOOKUP($N167,OFFSET(選手情報!$A$6:$M$119,BF167,0),13,FALSE)),"","/"&amp;VLOOKUP($N167,OFFSET(選手情報!$A$6:$M$119,BF167,0),13,FALSE)),"")</f>
        <v/>
      </c>
      <c r="BH167" s="127" t="str">
        <f ca="1">IF(BF167&lt;&gt;"",IF(ISNA(VLOOKUP($N167,OFFSET(選手情報!$A$6:$BD$119,BF167,0),56,FALSE)),"",VLOOKUP($N167,OFFSET(選手情報!$A$6:$BD$119,BF167,0),56,FALSE)),"")</f>
        <v/>
      </c>
      <c r="BI167" s="127" t="str">
        <f ca="1">IF(BH167&lt;&gt;"",IF(ISNA(VLOOKUP($N167,OFFSET(選手情報!$A$6:$M$119,BH167,0),13,FALSE)),"","/"&amp;VLOOKUP($N167,OFFSET(選手情報!$A$6:$M$119,BH167,0),13,FALSE)),"")</f>
        <v/>
      </c>
    </row>
    <row r="168" spans="1:61" s="127" customFormat="1" ht="12.6" customHeight="1">
      <c r="A168" s="128" t="str">
        <f>IF(ISNA(VLOOKUP($C$2&amp;N168,選手データ!A:H,3,FALSE)),"",IF(M168&lt;&gt;M161,VLOOKUP($C$2&amp;N168,選手データ!A:H,3,FALSE),""))</f>
        <v/>
      </c>
      <c r="B168" s="129" t="str">
        <f>IF(A168&lt;&gt;"",VLOOKUP($C$2&amp;N168,選手データ!A:H,4,FALSE),"")</f>
        <v/>
      </c>
      <c r="C168" s="129" t="str">
        <f>IF(A168&lt;&gt;"",VLOOKUP($C$2&amp;N168,選手データ!A:H,5,FALSE),"")</f>
        <v/>
      </c>
      <c r="D168" s="129" t="str">
        <f>IF(A168&lt;&gt;"",VLOOKUP($C$2&amp;N168,選手データ!A:H,6,FALSE),"")</f>
        <v/>
      </c>
      <c r="E168" s="129" t="str">
        <f>IF(A168&lt;&gt;"",VLOOKUP($C$2&amp;N168,選手データ!A:H,7,FALSE),"")</f>
        <v/>
      </c>
      <c r="F168" s="130" t="str">
        <f>IF(A168&lt;&gt;"",VLOOKUP($C$2&amp;N168,選手データ!A:H,8,FALSE),"")</f>
        <v/>
      </c>
      <c r="G168" s="130" t="str">
        <f>IF(F168&lt;&gt;"",IF(DATEDIF(F168,設定!$B$12,"Y")&lt;20,"〇",""),"")</f>
        <v/>
      </c>
      <c r="H168" s="131" t="str">
        <f t="shared" ref="H168:H173" ca="1" si="26">IF(ISNA(O168),"",O168)</f>
        <v/>
      </c>
      <c r="I168" s="132" t="str">
        <f t="shared" ref="I168:I173" ca="1" si="27">IF(ISNA(Q168),"",Q168)</f>
        <v/>
      </c>
      <c r="J168" s="131" t="str">
        <f t="shared" ref="J168:J173" ca="1" si="28">IF(ISNA(P168),"",P168)</f>
        <v/>
      </c>
      <c r="K168" s="130" t="str">
        <f>IF(A168&lt;&gt;"",IF(COUNTIF(リレーチーム情報!$B$17:$B$22,A168&amp;E168)=1,"〇",""),"")</f>
        <v/>
      </c>
      <c r="L168" s="133" t="str">
        <f>IF(A168&lt;&gt;"",IF(COUNTIF(リレーチーム情報!$B$23:$B$28,A168&amp;E168)=1,"〇",""),"")</f>
        <v/>
      </c>
      <c r="M168" s="127">
        <f>IF(学校情報!$A$4&lt;&gt;"",0,IF(S167=0,MAX($M$109:M167)+1,M167))</f>
        <v>0</v>
      </c>
      <c r="N168" s="127" t="str">
        <f>IF(M168&lt;&gt;0,VLOOKUP(M168,選手情報!BI:BJ,2,FALSE),"")</f>
        <v/>
      </c>
      <c r="O168" s="127" t="str">
        <f ca="1">IF(M168&lt;&gt;0,VLOOKUP(N168,OFFSET(選手情報!$A$6:$W$119,IF(M168&lt;&gt;M167,0,R167),0),13,FALSE),"")</f>
        <v/>
      </c>
      <c r="P168" s="127" t="str">
        <f ca="1">IF(M168&lt;&gt;0,VLOOKUP(N168,OFFSET(選手情報!$A$6:$W$119,IF(M168&lt;&gt;M167,0,R167),0),16,FALSE),"")</f>
        <v/>
      </c>
      <c r="Q168" s="127" t="str">
        <f ca="1">IF(M168&lt;&gt;0,VLOOKUP(N168,OFFSET(選手情報!$A$6:$W$119,IF(M168&lt;&gt;M167,0,R167),0),21,FALSE),"")</f>
        <v/>
      </c>
      <c r="R168" s="127">
        <f ca="1">IF(M168&lt;&gt;0,VLOOKUP(N168,OFFSET(選手情報!$A$6:$BD$119,IF(M168&lt;&gt;M167,0,R167),0),56,FALSE),0)</f>
        <v>0</v>
      </c>
      <c r="S168" s="127">
        <f ca="1">IF(M168&lt;&gt;0,IF(ISNA(R168),0,COUNTIF(OFFSET(選手情報!$A$6:$A$119,R168,0),N168)),0)</f>
        <v>0</v>
      </c>
      <c r="U168" s="127">
        <f t="shared" ref="U168:U173" si="29">IF(ISNA(N168),0,IF(N168&lt;&gt;N161,1,0))</f>
        <v>0</v>
      </c>
      <c r="V168" s="127">
        <f t="shared" ca="1" si="17"/>
        <v>1</v>
      </c>
      <c r="W168" s="127">
        <f t="shared" ca="1" si="12"/>
        <v>0</v>
      </c>
      <c r="X168" s="127" t="str">
        <f t="shared" ca="1" si="18"/>
        <v/>
      </c>
      <c r="Y168" s="127" t="str">
        <f>IF($A168&lt;&gt;"",IF(ISNA(VLOOKUP($N168,選手情報!$A$6:$M$119,13,FALSE)),"","/"&amp;VLOOKUP($N168,選手情報!$A$6:$M$119,13,FALSE)),"")</f>
        <v/>
      </c>
      <c r="Z168" s="127" t="str">
        <f ca="1">IF(Y168&lt;&gt;"",IF(ISNA(VLOOKUP($N168,OFFSET(選手情報!$A$6:$BD$119,0,0),56,FALSE)),"",VLOOKUP($N168,OFFSET(選手情報!$A$6:$BD$119,0,0),56,FALSE)),"")</f>
        <v/>
      </c>
      <c r="AA168" s="127" t="str">
        <f ca="1">IF(Z168&lt;&gt;"",IF(ISNA(VLOOKUP($N168,OFFSET(選手情報!$A$6:$M$119,Z168,0),13,FALSE)),"","/"&amp;VLOOKUP($N168,OFFSET(選手情報!$A$6:$M$119,Z168,0),13,FALSE)),"")</f>
        <v/>
      </c>
      <c r="AB168" s="127" t="str">
        <f ca="1">IF(Z168&lt;&gt;"",IF(ISNA(VLOOKUP($N168,OFFSET(選手情報!$A$6:$BD$119,Z168,0),56,FALSE)),"",VLOOKUP($N168,OFFSET(選手情報!$A$6:$BD$119,Z168,0),56,FALSE)),"")</f>
        <v/>
      </c>
      <c r="AC168" s="127" t="str">
        <f ca="1">IF(AB168&lt;&gt;"",IF(ISNA(VLOOKUP($N168,OFFSET(選手情報!$A$6:$M$119,AB168,0),13,FALSE)),"","/"&amp;VLOOKUP($N168,OFFSET(選手情報!$A$6:$M$119,AB168,0),13,FALSE)),"")</f>
        <v/>
      </c>
      <c r="AD168" s="127" t="str">
        <f ca="1">IF(AB168&lt;&gt;"",IF(ISNA(VLOOKUP($N168,OFFSET(選手情報!$A$6:$BD$119,AB168,0),56,FALSE)),"",VLOOKUP($N168,OFFSET(選手情報!$A$6:$BD$119,AB168,0),56,FALSE)),"")</f>
        <v/>
      </c>
      <c r="AE168" s="127" t="str">
        <f ca="1">IF(AD168&lt;&gt;"",IF(ISNA(VLOOKUP($N168,OFFSET(選手情報!$A$6:$M$119,AD168,0),13,FALSE)),"","/"&amp;VLOOKUP($N168,OFFSET(選手情報!$A$6:$M$119,AD168,0),13,FALSE)),"")</f>
        <v/>
      </c>
      <c r="AF168" s="127" t="str">
        <f ca="1">IF(AD168&lt;&gt;"",IF(ISNA(VLOOKUP($N168,OFFSET(選手情報!$A$6:$BD$119,AD168,0),56,FALSE)),"",VLOOKUP($N168,OFFSET(選手情報!$A$6:$BD$119,AD168,0),56,FALSE)),"")</f>
        <v/>
      </c>
      <c r="AG168" s="127" t="str">
        <f ca="1">IF(AF168&lt;&gt;"",IF(ISNA(VLOOKUP($N168,OFFSET(選手情報!$A$6:$M$119,AF168,0),13,FALSE)),"","/"&amp;VLOOKUP($N168,OFFSET(選手情報!$A$6:$M$119,AF168,0),13,FALSE)),"")</f>
        <v/>
      </c>
      <c r="AH168" s="127" t="str">
        <f ca="1">IF(AF168&lt;&gt;"",IF(ISNA(VLOOKUP($N168,OFFSET(選手情報!$A$6:$BD$119,AF168,0),56,FALSE)),"",VLOOKUP($N168,OFFSET(選手情報!$A$6:$BD$119,AF168,0),56,FALSE)),"")</f>
        <v/>
      </c>
      <c r="AI168" s="127" t="str">
        <f ca="1">IF(AH168&lt;&gt;"",IF(ISNA(VLOOKUP($N168,OFFSET(選手情報!$A$6:$M$119,AH168,0),13,FALSE)),"","/"&amp;VLOOKUP($N168,OFFSET(選手情報!$A$6:$M$119,AH168,0),13,FALSE)),"")</f>
        <v/>
      </c>
      <c r="AJ168" s="127" t="str">
        <f ca="1">IF(AH168&lt;&gt;"",IF(ISNA(VLOOKUP($N168,OFFSET(選手情報!$A$6:$BD$119,AH168,0),56,FALSE)),"",VLOOKUP($N168,OFFSET(選手情報!$A$6:$BD$119,AH168,0),56,FALSE)),"")</f>
        <v/>
      </c>
      <c r="AK168" s="127" t="str">
        <f ca="1">IF(AJ168&lt;&gt;"",IF(ISNA(VLOOKUP($N168,OFFSET(選手情報!$A$6:$M$119,AJ168,0),13,FALSE)),"","/"&amp;VLOOKUP($N168,OFFSET(選手情報!$A$6:$M$119,AJ168,0),13,FALSE)),"")</f>
        <v/>
      </c>
      <c r="AL168" s="127" t="str">
        <f ca="1">IF(AJ168&lt;&gt;"",IF(ISNA(VLOOKUP($N168,OFFSET(選手情報!$A$6:$BD$119,AJ168,0),56,FALSE)),"",VLOOKUP($N168,OFFSET(選手情報!$A$6:$BD$119,AJ168,0),56,FALSE)),"")</f>
        <v/>
      </c>
      <c r="AM168" s="127" t="str">
        <f ca="1">IF(AL168&lt;&gt;"",IF(ISNA(VLOOKUP($N168,OFFSET(選手情報!$A$6:$M$119,AL168,0),13,FALSE)),"","/"&amp;VLOOKUP($N168,OFFSET(選手情報!$A$6:$M$119,AL168,0),13,FALSE)),"")</f>
        <v/>
      </c>
      <c r="AN168" s="127" t="str">
        <f ca="1">IF(AL168&lt;&gt;"",IF(ISNA(VLOOKUP($N168,OFFSET(選手情報!$A$6:$BD$119,AL168,0),56,FALSE)),"",VLOOKUP($N168,OFFSET(選手情報!$A$6:$BD$119,AL168,0),56,FALSE)),"")</f>
        <v/>
      </c>
      <c r="AO168" s="127" t="str">
        <f ca="1">IF(AN168&lt;&gt;"",IF(ISNA(VLOOKUP($N168,OFFSET(選手情報!$A$6:$M$119,AN168,0),13,FALSE)),"","/"&amp;VLOOKUP($N168,OFFSET(選手情報!$A$6:$M$119,AN168,0),13,FALSE)),"")</f>
        <v/>
      </c>
      <c r="AP168" s="127" t="str">
        <f ca="1">IF(AN168&lt;&gt;"",IF(ISNA(VLOOKUP($N168,OFFSET(選手情報!$A$6:$BD$119,AN168,0),56,FALSE)),"",VLOOKUP($N168,OFFSET(選手情報!$A$6:$BD$119,AN168,0),56,FALSE)),"")</f>
        <v/>
      </c>
      <c r="AQ168" s="127" t="str">
        <f ca="1">IF(AP168&lt;&gt;"",IF(ISNA(VLOOKUP($N168,OFFSET(選手情報!$A$6:$M$119,AP168,0),13,FALSE)),"","/"&amp;VLOOKUP($N168,OFFSET(選手情報!$A$6:$M$119,AP168,0),13,FALSE)),"")</f>
        <v/>
      </c>
      <c r="AR168" s="127" t="str">
        <f ca="1">IF(AP168&lt;&gt;"",IF(ISNA(VLOOKUP($N168,OFFSET(選手情報!$A$6:$BD$119,AP168,0),56,FALSE)),"",VLOOKUP($N168,OFFSET(選手情報!$A$6:$BD$119,AP168,0),56,FALSE)),"")</f>
        <v/>
      </c>
      <c r="AS168" s="127" t="str">
        <f ca="1">IF(AR168&lt;&gt;"",IF(ISNA(VLOOKUP($N168,OFFSET(選手情報!$A$6:$M$119,AR168,0),13,FALSE)),"","/"&amp;VLOOKUP($N168,OFFSET(選手情報!$A$6:$M$119,AR168,0),13,FALSE)),"")</f>
        <v/>
      </c>
      <c r="AT168" s="127" t="str">
        <f ca="1">IF(AR168&lt;&gt;"",IF(ISNA(VLOOKUP($N168,OFFSET(選手情報!$A$6:$BD$119,AR168,0),56,FALSE)),"",VLOOKUP($N168,OFFSET(選手情報!$A$6:$BD$119,AR168,0),56,FALSE)),"")</f>
        <v/>
      </c>
      <c r="AU168" s="127" t="str">
        <f ca="1">IF(AT168&lt;&gt;"",IF(ISNA(VLOOKUP($N168,OFFSET(選手情報!$A$6:$M$119,AT168,0),13,FALSE)),"","/"&amp;VLOOKUP($N168,OFFSET(選手情報!$A$6:$M$119,AT168,0),13,FALSE)),"")</f>
        <v/>
      </c>
      <c r="AV168" s="127" t="str">
        <f ca="1">IF(AT168&lt;&gt;"",IF(ISNA(VLOOKUP($N168,OFFSET(選手情報!$A$6:$BD$119,AT168,0),56,FALSE)),"",VLOOKUP($N168,OFFSET(選手情報!$A$6:$BD$119,AT168,0),56,FALSE)),"")</f>
        <v/>
      </c>
      <c r="AW168" s="127" t="str">
        <f ca="1">IF(AV168&lt;&gt;"",IF(ISNA(VLOOKUP($N168,OFFSET(選手情報!$A$6:$M$119,AV168,0),13,FALSE)),"","/"&amp;VLOOKUP($N168,OFFSET(選手情報!$A$6:$M$119,AV168,0),13,FALSE)),"")</f>
        <v/>
      </c>
      <c r="AX168" s="127" t="str">
        <f ca="1">IF(AV168&lt;&gt;"",IF(ISNA(VLOOKUP($N168,OFFSET(選手情報!$A$6:$BD$119,AV168,0),56,FALSE)),"",VLOOKUP($N168,OFFSET(選手情報!$A$6:$BD$119,AV168,0),56,FALSE)),"")</f>
        <v/>
      </c>
      <c r="AY168" s="127" t="str">
        <f ca="1">IF(AX168&lt;&gt;"",IF(ISNA(VLOOKUP($N168,OFFSET(選手情報!$A$6:$M$119,AX168,0),13,FALSE)),"","/"&amp;VLOOKUP($N168,OFFSET(選手情報!$A$6:$M$119,AX168,0),13,FALSE)),"")</f>
        <v/>
      </c>
      <c r="AZ168" s="127" t="str">
        <f ca="1">IF(AX168&lt;&gt;"",IF(ISNA(VLOOKUP($N168,OFFSET(選手情報!$A$6:$BD$119,AX168,0),56,FALSE)),"",VLOOKUP($N168,OFFSET(選手情報!$A$6:$BD$119,AX168,0),56,FALSE)),"")</f>
        <v/>
      </c>
      <c r="BA168" s="127" t="str">
        <f ca="1">IF(AZ168&lt;&gt;"",IF(ISNA(VLOOKUP($N168,OFFSET(選手情報!$A$6:$M$119,AZ168,0),13,FALSE)),"","/"&amp;VLOOKUP($N168,OFFSET(選手情報!$A$6:$M$119,AZ168,0),13,FALSE)),"")</f>
        <v/>
      </c>
      <c r="BB168" s="127" t="str">
        <f ca="1">IF(AZ168&lt;&gt;"",IF(ISNA(VLOOKUP($N168,OFFSET(選手情報!$A$6:$BD$119,AZ168,0),56,FALSE)),"",VLOOKUP($N168,OFFSET(選手情報!$A$6:$BD$119,AZ168,0),56,FALSE)),"")</f>
        <v/>
      </c>
      <c r="BC168" s="127" t="str">
        <f ca="1">IF(BB168&lt;&gt;"",IF(ISNA(VLOOKUP($N168,OFFSET(選手情報!$A$6:$M$119,BB168,0),13,FALSE)),"","/"&amp;VLOOKUP($N168,OFFSET(選手情報!$A$6:$M$119,BB168,0),13,FALSE)),"")</f>
        <v/>
      </c>
      <c r="BD168" s="127" t="str">
        <f ca="1">IF(BB168&lt;&gt;"",IF(ISNA(VLOOKUP($N168,OFFSET(選手情報!$A$6:$BD$119,BB168,0),56,FALSE)),"",VLOOKUP($N168,OFFSET(選手情報!$A$6:$BD$119,BB168,0),56,FALSE)),"")</f>
        <v/>
      </c>
      <c r="BE168" s="127" t="str">
        <f ca="1">IF(BD168&lt;&gt;"",IF(ISNA(VLOOKUP($N168,OFFSET(選手情報!$A$6:$M$119,BD168,0),13,FALSE)),"","/"&amp;VLOOKUP($N168,OFFSET(選手情報!$A$6:$M$119,BD168,0),13,FALSE)),"")</f>
        <v/>
      </c>
      <c r="BF168" s="127" t="str">
        <f ca="1">IF(BD168&lt;&gt;"",IF(ISNA(VLOOKUP($N168,OFFSET(選手情報!$A$6:$BD$119,BD168,0),56,FALSE)),"",VLOOKUP($N168,OFFSET(選手情報!$A$6:$BD$119,BD168,0),56,FALSE)),"")</f>
        <v/>
      </c>
      <c r="BG168" s="127" t="str">
        <f ca="1">IF(BF168&lt;&gt;"",IF(ISNA(VLOOKUP($N168,OFFSET(選手情報!$A$6:$M$119,BF168,0),13,FALSE)),"","/"&amp;VLOOKUP($N168,OFFSET(選手情報!$A$6:$M$119,BF168,0),13,FALSE)),"")</f>
        <v/>
      </c>
      <c r="BH168" s="127" t="str">
        <f ca="1">IF(BF168&lt;&gt;"",IF(ISNA(VLOOKUP($N168,OFFSET(選手情報!$A$6:$BD$119,BF168,0),56,FALSE)),"",VLOOKUP($N168,OFFSET(選手情報!$A$6:$BD$119,BF168,0),56,FALSE)),"")</f>
        <v/>
      </c>
      <c r="BI168" s="127" t="str">
        <f ca="1">IF(BH168&lt;&gt;"",IF(ISNA(VLOOKUP($N168,OFFSET(選手情報!$A$6:$M$119,BH168,0),13,FALSE)),"","/"&amp;VLOOKUP($N168,OFFSET(選手情報!$A$6:$M$119,BH168,0),13,FALSE)),"")</f>
        <v/>
      </c>
    </row>
    <row r="169" spans="1:61" s="127" customFormat="1" ht="12.6" customHeight="1">
      <c r="A169" s="128" t="str">
        <f>IF(ISNA(VLOOKUP($C$2&amp;N169,選手データ!A:H,3,FALSE)),"",IF(M169&lt;&gt;M162,VLOOKUP($C$2&amp;N169,選手データ!A:H,3,FALSE),""))</f>
        <v/>
      </c>
      <c r="B169" s="129" t="str">
        <f>IF(A169&lt;&gt;"",VLOOKUP($C$2&amp;N169,選手データ!A:H,4,FALSE),"")</f>
        <v/>
      </c>
      <c r="C169" s="129" t="str">
        <f>IF(A169&lt;&gt;"",VLOOKUP($C$2&amp;N169,選手データ!A:H,5,FALSE),"")</f>
        <v/>
      </c>
      <c r="D169" s="129" t="str">
        <f>IF(A169&lt;&gt;"",VLOOKUP($C$2&amp;N169,選手データ!A:H,6,FALSE),"")</f>
        <v/>
      </c>
      <c r="E169" s="129" t="str">
        <f>IF(A169&lt;&gt;"",VLOOKUP($C$2&amp;N169,選手データ!A:H,7,FALSE),"")</f>
        <v/>
      </c>
      <c r="F169" s="130" t="str">
        <f>IF(A169&lt;&gt;"",VLOOKUP($C$2&amp;N169,選手データ!A:H,8,FALSE),"")</f>
        <v/>
      </c>
      <c r="G169" s="130" t="str">
        <f>IF(F169&lt;&gt;"",IF(DATEDIF(F169,設定!$B$12,"Y")&lt;20,"〇",""),"")</f>
        <v/>
      </c>
      <c r="H169" s="131" t="str">
        <f t="shared" ca="1" si="26"/>
        <v/>
      </c>
      <c r="I169" s="132" t="str">
        <f t="shared" ca="1" si="27"/>
        <v/>
      </c>
      <c r="J169" s="131" t="str">
        <f t="shared" ca="1" si="28"/>
        <v/>
      </c>
      <c r="K169" s="130" t="str">
        <f>IF(A169&lt;&gt;"",IF(COUNTIF(リレーチーム情報!$B$17:$B$22,A169&amp;E169)=1,"〇",""),"")</f>
        <v/>
      </c>
      <c r="L169" s="133" t="str">
        <f>IF(A169&lt;&gt;"",IF(COUNTIF(リレーチーム情報!$B$23:$B$28,A169&amp;E169)=1,"〇",""),"")</f>
        <v/>
      </c>
      <c r="M169" s="127">
        <f>IF(学校情報!$A$4&lt;&gt;"",0,IF(S168=0,MAX($M$109:M168)+1,M168))</f>
        <v>0</v>
      </c>
      <c r="N169" s="127" t="str">
        <f>IF(M169&lt;&gt;0,VLOOKUP(M169,選手情報!BI:BJ,2,FALSE),"")</f>
        <v/>
      </c>
      <c r="O169" s="127" t="str">
        <f ca="1">IF(M169&lt;&gt;0,VLOOKUP(N169,OFFSET(選手情報!$A$6:$W$119,IF(M169&lt;&gt;M168,0,R168),0),13,FALSE),"")</f>
        <v/>
      </c>
      <c r="P169" s="127" t="str">
        <f ca="1">IF(M169&lt;&gt;0,VLOOKUP(N169,OFFSET(選手情報!$A$6:$W$119,IF(M169&lt;&gt;M168,0,R168),0),16,FALSE),"")</f>
        <v/>
      </c>
      <c r="Q169" s="127" t="str">
        <f ca="1">IF(M169&lt;&gt;0,VLOOKUP(N169,OFFSET(選手情報!$A$6:$W$119,IF(M169&lt;&gt;M168,0,R168),0),21,FALSE),"")</f>
        <v/>
      </c>
      <c r="R169" s="127">
        <f ca="1">IF(M169&lt;&gt;0,VLOOKUP(N169,OFFSET(選手情報!$A$6:$BD$119,IF(M169&lt;&gt;M168,0,R168),0),56,FALSE),0)</f>
        <v>0</v>
      </c>
      <c r="S169" s="127">
        <f ca="1">IF(M169&lt;&gt;0,IF(ISNA(R169),0,COUNTIF(OFFSET(選手情報!$A$6:$A$119,R169,0),N169)),0)</f>
        <v>0</v>
      </c>
      <c r="U169" s="127">
        <f t="shared" si="29"/>
        <v>0</v>
      </c>
      <c r="V169" s="127">
        <f t="shared" ca="1" si="17"/>
        <v>1</v>
      </c>
      <c r="W169" s="127">
        <f t="shared" ca="1" si="12"/>
        <v>0</v>
      </c>
      <c r="X169" s="127" t="str">
        <f t="shared" ca="1" si="18"/>
        <v/>
      </c>
      <c r="Y169" s="127" t="str">
        <f>IF($A169&lt;&gt;"",IF(ISNA(VLOOKUP($N169,選手情報!$A$6:$M$119,13,FALSE)),"","/"&amp;VLOOKUP($N169,選手情報!$A$6:$M$119,13,FALSE)),"")</f>
        <v/>
      </c>
      <c r="Z169" s="127" t="str">
        <f ca="1">IF(Y169&lt;&gt;"",IF(ISNA(VLOOKUP($N169,OFFSET(選手情報!$A$6:$BD$119,0,0),56,FALSE)),"",VLOOKUP($N169,OFFSET(選手情報!$A$6:$BD$119,0,0),56,FALSE)),"")</f>
        <v/>
      </c>
      <c r="AA169" s="127" t="str">
        <f ca="1">IF(Z169&lt;&gt;"",IF(ISNA(VLOOKUP($N169,OFFSET(選手情報!$A$6:$M$119,Z169,0),13,FALSE)),"","/"&amp;VLOOKUP($N169,OFFSET(選手情報!$A$6:$M$119,Z169,0),13,FALSE)),"")</f>
        <v/>
      </c>
      <c r="AB169" s="127" t="str">
        <f ca="1">IF(Z169&lt;&gt;"",IF(ISNA(VLOOKUP($N169,OFFSET(選手情報!$A$6:$BD$119,Z169,0),56,FALSE)),"",VLOOKUP($N169,OFFSET(選手情報!$A$6:$BD$119,Z169,0),56,FALSE)),"")</f>
        <v/>
      </c>
      <c r="AC169" s="127" t="str">
        <f ca="1">IF(AB169&lt;&gt;"",IF(ISNA(VLOOKUP($N169,OFFSET(選手情報!$A$6:$M$119,AB169,0),13,FALSE)),"","/"&amp;VLOOKUP($N169,OFFSET(選手情報!$A$6:$M$119,AB169,0),13,FALSE)),"")</f>
        <v/>
      </c>
      <c r="AD169" s="127" t="str">
        <f ca="1">IF(AB169&lt;&gt;"",IF(ISNA(VLOOKUP($N169,OFFSET(選手情報!$A$6:$BD$119,AB169,0),56,FALSE)),"",VLOOKUP($N169,OFFSET(選手情報!$A$6:$BD$119,AB169,0),56,FALSE)),"")</f>
        <v/>
      </c>
      <c r="AE169" s="127" t="str">
        <f ca="1">IF(AD169&lt;&gt;"",IF(ISNA(VLOOKUP($N169,OFFSET(選手情報!$A$6:$M$119,AD169,0),13,FALSE)),"","/"&amp;VLOOKUP($N169,OFFSET(選手情報!$A$6:$M$119,AD169,0),13,FALSE)),"")</f>
        <v/>
      </c>
      <c r="AF169" s="127" t="str">
        <f ca="1">IF(AD169&lt;&gt;"",IF(ISNA(VLOOKUP($N169,OFFSET(選手情報!$A$6:$BD$119,AD169,0),56,FALSE)),"",VLOOKUP($N169,OFFSET(選手情報!$A$6:$BD$119,AD169,0),56,FALSE)),"")</f>
        <v/>
      </c>
      <c r="AG169" s="127" t="str">
        <f ca="1">IF(AF169&lt;&gt;"",IF(ISNA(VLOOKUP($N169,OFFSET(選手情報!$A$6:$M$119,AF169,0),13,FALSE)),"","/"&amp;VLOOKUP($N169,OFFSET(選手情報!$A$6:$M$119,AF169,0),13,FALSE)),"")</f>
        <v/>
      </c>
      <c r="AH169" s="127" t="str">
        <f ca="1">IF(AF169&lt;&gt;"",IF(ISNA(VLOOKUP($N169,OFFSET(選手情報!$A$6:$BD$119,AF169,0),56,FALSE)),"",VLOOKUP($N169,OFFSET(選手情報!$A$6:$BD$119,AF169,0),56,FALSE)),"")</f>
        <v/>
      </c>
      <c r="AI169" s="127" t="str">
        <f ca="1">IF(AH169&lt;&gt;"",IF(ISNA(VLOOKUP($N169,OFFSET(選手情報!$A$6:$M$119,AH169,0),13,FALSE)),"","/"&amp;VLOOKUP($N169,OFFSET(選手情報!$A$6:$M$119,AH169,0),13,FALSE)),"")</f>
        <v/>
      </c>
      <c r="AJ169" s="127" t="str">
        <f ca="1">IF(AH169&lt;&gt;"",IF(ISNA(VLOOKUP($N169,OFFSET(選手情報!$A$6:$BD$119,AH169,0),56,FALSE)),"",VLOOKUP($N169,OFFSET(選手情報!$A$6:$BD$119,AH169,0),56,FALSE)),"")</f>
        <v/>
      </c>
      <c r="AK169" s="127" t="str">
        <f ca="1">IF(AJ169&lt;&gt;"",IF(ISNA(VLOOKUP($N169,OFFSET(選手情報!$A$6:$M$119,AJ169,0),13,FALSE)),"","/"&amp;VLOOKUP($N169,OFFSET(選手情報!$A$6:$M$119,AJ169,0),13,FALSE)),"")</f>
        <v/>
      </c>
      <c r="AL169" s="127" t="str">
        <f ca="1">IF(AJ169&lt;&gt;"",IF(ISNA(VLOOKUP($N169,OFFSET(選手情報!$A$6:$BD$119,AJ169,0),56,FALSE)),"",VLOOKUP($N169,OFFSET(選手情報!$A$6:$BD$119,AJ169,0),56,FALSE)),"")</f>
        <v/>
      </c>
      <c r="AM169" s="127" t="str">
        <f ca="1">IF(AL169&lt;&gt;"",IF(ISNA(VLOOKUP($N169,OFFSET(選手情報!$A$6:$M$119,AL169,0),13,FALSE)),"","/"&amp;VLOOKUP($N169,OFFSET(選手情報!$A$6:$M$119,AL169,0),13,FALSE)),"")</f>
        <v/>
      </c>
      <c r="AN169" s="127" t="str">
        <f ca="1">IF(AL169&lt;&gt;"",IF(ISNA(VLOOKUP($N169,OFFSET(選手情報!$A$6:$BD$119,AL169,0),56,FALSE)),"",VLOOKUP($N169,OFFSET(選手情報!$A$6:$BD$119,AL169,0),56,FALSE)),"")</f>
        <v/>
      </c>
      <c r="AO169" s="127" t="str">
        <f ca="1">IF(AN169&lt;&gt;"",IF(ISNA(VLOOKUP($N169,OFFSET(選手情報!$A$6:$M$119,AN169,0),13,FALSE)),"","/"&amp;VLOOKUP($N169,OFFSET(選手情報!$A$6:$M$119,AN169,0),13,FALSE)),"")</f>
        <v/>
      </c>
      <c r="AP169" s="127" t="str">
        <f ca="1">IF(AN169&lt;&gt;"",IF(ISNA(VLOOKUP($N169,OFFSET(選手情報!$A$6:$BD$119,AN169,0),56,FALSE)),"",VLOOKUP($N169,OFFSET(選手情報!$A$6:$BD$119,AN169,0),56,FALSE)),"")</f>
        <v/>
      </c>
      <c r="AQ169" s="127" t="str">
        <f ca="1">IF(AP169&lt;&gt;"",IF(ISNA(VLOOKUP($N169,OFFSET(選手情報!$A$6:$M$119,AP169,0),13,FALSE)),"","/"&amp;VLOOKUP($N169,OFFSET(選手情報!$A$6:$M$119,AP169,0),13,FALSE)),"")</f>
        <v/>
      </c>
      <c r="AR169" s="127" t="str">
        <f ca="1">IF(AP169&lt;&gt;"",IF(ISNA(VLOOKUP($N169,OFFSET(選手情報!$A$6:$BD$119,AP169,0),56,FALSE)),"",VLOOKUP($N169,OFFSET(選手情報!$A$6:$BD$119,AP169,0),56,FALSE)),"")</f>
        <v/>
      </c>
      <c r="AS169" s="127" t="str">
        <f ca="1">IF(AR169&lt;&gt;"",IF(ISNA(VLOOKUP($N169,OFFSET(選手情報!$A$6:$M$119,AR169,0),13,FALSE)),"","/"&amp;VLOOKUP($N169,OFFSET(選手情報!$A$6:$M$119,AR169,0),13,FALSE)),"")</f>
        <v/>
      </c>
      <c r="AT169" s="127" t="str">
        <f ca="1">IF(AR169&lt;&gt;"",IF(ISNA(VLOOKUP($N169,OFFSET(選手情報!$A$6:$BD$119,AR169,0),56,FALSE)),"",VLOOKUP($N169,OFFSET(選手情報!$A$6:$BD$119,AR169,0),56,FALSE)),"")</f>
        <v/>
      </c>
      <c r="AU169" s="127" t="str">
        <f ca="1">IF(AT169&lt;&gt;"",IF(ISNA(VLOOKUP($N169,OFFSET(選手情報!$A$6:$M$119,AT169,0),13,FALSE)),"","/"&amp;VLOOKUP($N169,OFFSET(選手情報!$A$6:$M$119,AT169,0),13,FALSE)),"")</f>
        <v/>
      </c>
      <c r="AV169" s="127" t="str">
        <f ca="1">IF(AT169&lt;&gt;"",IF(ISNA(VLOOKUP($N169,OFFSET(選手情報!$A$6:$BD$119,AT169,0),56,FALSE)),"",VLOOKUP($N169,OFFSET(選手情報!$A$6:$BD$119,AT169,0),56,FALSE)),"")</f>
        <v/>
      </c>
      <c r="AW169" s="127" t="str">
        <f ca="1">IF(AV169&lt;&gt;"",IF(ISNA(VLOOKUP($N169,OFFSET(選手情報!$A$6:$M$119,AV169,0),13,FALSE)),"","/"&amp;VLOOKUP($N169,OFFSET(選手情報!$A$6:$M$119,AV169,0),13,FALSE)),"")</f>
        <v/>
      </c>
      <c r="AX169" s="127" t="str">
        <f ca="1">IF(AV169&lt;&gt;"",IF(ISNA(VLOOKUP($N169,OFFSET(選手情報!$A$6:$BD$119,AV169,0),56,FALSE)),"",VLOOKUP($N169,OFFSET(選手情報!$A$6:$BD$119,AV169,0),56,FALSE)),"")</f>
        <v/>
      </c>
      <c r="AY169" s="127" t="str">
        <f ca="1">IF(AX169&lt;&gt;"",IF(ISNA(VLOOKUP($N169,OFFSET(選手情報!$A$6:$M$119,AX169,0),13,FALSE)),"","/"&amp;VLOOKUP($N169,OFFSET(選手情報!$A$6:$M$119,AX169,0),13,FALSE)),"")</f>
        <v/>
      </c>
      <c r="AZ169" s="127" t="str">
        <f ca="1">IF(AX169&lt;&gt;"",IF(ISNA(VLOOKUP($N169,OFFSET(選手情報!$A$6:$BD$119,AX169,0),56,FALSE)),"",VLOOKUP($N169,OFFSET(選手情報!$A$6:$BD$119,AX169,0),56,FALSE)),"")</f>
        <v/>
      </c>
      <c r="BA169" s="127" t="str">
        <f ca="1">IF(AZ169&lt;&gt;"",IF(ISNA(VLOOKUP($N169,OFFSET(選手情報!$A$6:$M$119,AZ169,0),13,FALSE)),"","/"&amp;VLOOKUP($N169,OFFSET(選手情報!$A$6:$M$119,AZ169,0),13,FALSE)),"")</f>
        <v/>
      </c>
      <c r="BB169" s="127" t="str">
        <f ca="1">IF(AZ169&lt;&gt;"",IF(ISNA(VLOOKUP($N169,OFFSET(選手情報!$A$6:$BD$119,AZ169,0),56,FALSE)),"",VLOOKUP($N169,OFFSET(選手情報!$A$6:$BD$119,AZ169,0),56,FALSE)),"")</f>
        <v/>
      </c>
      <c r="BC169" s="127" t="str">
        <f ca="1">IF(BB169&lt;&gt;"",IF(ISNA(VLOOKUP($N169,OFFSET(選手情報!$A$6:$M$119,BB169,0),13,FALSE)),"","/"&amp;VLOOKUP($N169,OFFSET(選手情報!$A$6:$M$119,BB169,0),13,FALSE)),"")</f>
        <v/>
      </c>
      <c r="BD169" s="127" t="str">
        <f ca="1">IF(BB169&lt;&gt;"",IF(ISNA(VLOOKUP($N169,OFFSET(選手情報!$A$6:$BD$119,BB169,0),56,FALSE)),"",VLOOKUP($N169,OFFSET(選手情報!$A$6:$BD$119,BB169,0),56,FALSE)),"")</f>
        <v/>
      </c>
      <c r="BE169" s="127" t="str">
        <f ca="1">IF(BD169&lt;&gt;"",IF(ISNA(VLOOKUP($N169,OFFSET(選手情報!$A$6:$M$119,BD169,0),13,FALSE)),"","/"&amp;VLOOKUP($N169,OFFSET(選手情報!$A$6:$M$119,BD169,0),13,FALSE)),"")</f>
        <v/>
      </c>
      <c r="BF169" s="127" t="str">
        <f ca="1">IF(BD169&lt;&gt;"",IF(ISNA(VLOOKUP($N169,OFFSET(選手情報!$A$6:$BD$119,BD169,0),56,FALSE)),"",VLOOKUP($N169,OFFSET(選手情報!$A$6:$BD$119,BD169,0),56,FALSE)),"")</f>
        <v/>
      </c>
      <c r="BG169" s="127" t="str">
        <f ca="1">IF(BF169&lt;&gt;"",IF(ISNA(VLOOKUP($N169,OFFSET(選手情報!$A$6:$M$119,BF169,0),13,FALSE)),"","/"&amp;VLOOKUP($N169,OFFSET(選手情報!$A$6:$M$119,BF169,0),13,FALSE)),"")</f>
        <v/>
      </c>
      <c r="BH169" s="127" t="str">
        <f ca="1">IF(BF169&lt;&gt;"",IF(ISNA(VLOOKUP($N169,OFFSET(選手情報!$A$6:$BD$119,BF169,0),56,FALSE)),"",VLOOKUP($N169,OFFSET(選手情報!$A$6:$BD$119,BF169,0),56,FALSE)),"")</f>
        <v/>
      </c>
      <c r="BI169" s="127" t="str">
        <f ca="1">IF(BH169&lt;&gt;"",IF(ISNA(VLOOKUP($N169,OFFSET(選手情報!$A$6:$M$119,BH169,0),13,FALSE)),"","/"&amp;VLOOKUP($N169,OFFSET(選手情報!$A$6:$M$119,BH169,0),13,FALSE)),"")</f>
        <v/>
      </c>
    </row>
    <row r="170" spans="1:61" s="127" customFormat="1" ht="12.6" customHeight="1">
      <c r="A170" s="128" t="str">
        <f>IF(ISNA(VLOOKUP($C$2&amp;N170,選手データ!A:H,3,FALSE)),"",IF(M170&lt;&gt;M163,VLOOKUP($C$2&amp;N170,選手データ!A:H,3,FALSE),""))</f>
        <v/>
      </c>
      <c r="B170" s="129" t="str">
        <f>IF(A170&lt;&gt;"",VLOOKUP($C$2&amp;N170,選手データ!A:H,4,FALSE),"")</f>
        <v/>
      </c>
      <c r="C170" s="129" t="str">
        <f>IF(A170&lt;&gt;"",VLOOKUP($C$2&amp;N170,選手データ!A:H,5,FALSE),"")</f>
        <v/>
      </c>
      <c r="D170" s="129" t="str">
        <f>IF(A170&lt;&gt;"",VLOOKUP($C$2&amp;N170,選手データ!A:H,6,FALSE),"")</f>
        <v/>
      </c>
      <c r="E170" s="129" t="str">
        <f>IF(A170&lt;&gt;"",VLOOKUP($C$2&amp;N170,選手データ!A:H,7,FALSE),"")</f>
        <v/>
      </c>
      <c r="F170" s="130" t="str">
        <f>IF(A170&lt;&gt;"",VLOOKUP($C$2&amp;N170,選手データ!A:H,8,FALSE),"")</f>
        <v/>
      </c>
      <c r="G170" s="130" t="str">
        <f>IF(F170&lt;&gt;"",IF(DATEDIF(F170,設定!$B$12,"Y")&lt;20,"〇",""),"")</f>
        <v/>
      </c>
      <c r="H170" s="131" t="str">
        <f t="shared" ca="1" si="26"/>
        <v/>
      </c>
      <c r="I170" s="132" t="str">
        <f t="shared" ca="1" si="27"/>
        <v/>
      </c>
      <c r="J170" s="131" t="str">
        <f t="shared" ca="1" si="28"/>
        <v/>
      </c>
      <c r="K170" s="130" t="str">
        <f>IF(A170&lt;&gt;"",IF(COUNTIF(リレーチーム情報!$B$17:$B$22,A170&amp;E170)=1,"〇",""),"")</f>
        <v/>
      </c>
      <c r="L170" s="133" t="str">
        <f>IF(A170&lt;&gt;"",IF(COUNTIF(リレーチーム情報!$B$23:$B$28,A170&amp;E170)=1,"〇",""),"")</f>
        <v/>
      </c>
      <c r="M170" s="127">
        <f>IF(学校情報!$A$4&lt;&gt;"",0,IF(S169=0,MAX($M$109:M169)+1,M169))</f>
        <v>0</v>
      </c>
      <c r="N170" s="127" t="str">
        <f>IF(M170&lt;&gt;0,VLOOKUP(M170,選手情報!BI:BJ,2,FALSE),"")</f>
        <v/>
      </c>
      <c r="O170" s="127" t="str">
        <f ca="1">IF(M170&lt;&gt;0,VLOOKUP(N170,OFFSET(選手情報!$A$6:$W$119,IF(M170&lt;&gt;M169,0,R169),0),13,FALSE),"")</f>
        <v/>
      </c>
      <c r="P170" s="127" t="str">
        <f ca="1">IF(M170&lt;&gt;0,VLOOKUP(N170,OFFSET(選手情報!$A$6:$W$119,IF(M170&lt;&gt;M169,0,R169),0),16,FALSE),"")</f>
        <v/>
      </c>
      <c r="Q170" s="127" t="str">
        <f ca="1">IF(M170&lt;&gt;0,VLOOKUP(N170,OFFSET(選手情報!$A$6:$W$119,IF(M170&lt;&gt;M169,0,R169),0),21,FALSE),"")</f>
        <v/>
      </c>
      <c r="R170" s="127">
        <f ca="1">IF(M170&lt;&gt;0,VLOOKUP(N170,OFFSET(選手情報!$A$6:$BD$119,IF(M170&lt;&gt;M169,0,R169),0),56,FALSE),0)</f>
        <v>0</v>
      </c>
      <c r="S170" s="127">
        <f ca="1">IF(M170&lt;&gt;0,IF(ISNA(R170),0,COUNTIF(OFFSET(選手情報!$A$6:$A$119,R170,0),N170)),0)</f>
        <v>0</v>
      </c>
      <c r="U170" s="127">
        <f t="shared" si="29"/>
        <v>0</v>
      </c>
      <c r="V170" s="127">
        <f t="shared" ca="1" si="17"/>
        <v>1</v>
      </c>
      <c r="W170" s="127">
        <f t="shared" ca="1" si="12"/>
        <v>0</v>
      </c>
      <c r="X170" s="127" t="str">
        <f t="shared" ca="1" si="18"/>
        <v/>
      </c>
      <c r="Y170" s="127" t="str">
        <f>IF($A170&lt;&gt;"",IF(ISNA(VLOOKUP($N170,選手情報!$A$6:$M$119,13,FALSE)),"","/"&amp;VLOOKUP($N170,選手情報!$A$6:$M$119,13,FALSE)),"")</f>
        <v/>
      </c>
      <c r="Z170" s="127" t="str">
        <f ca="1">IF(Y170&lt;&gt;"",IF(ISNA(VLOOKUP($N170,OFFSET(選手情報!$A$6:$BD$119,0,0),56,FALSE)),"",VLOOKUP($N170,OFFSET(選手情報!$A$6:$BD$119,0,0),56,FALSE)),"")</f>
        <v/>
      </c>
      <c r="AA170" s="127" t="str">
        <f ca="1">IF(Z170&lt;&gt;"",IF(ISNA(VLOOKUP($N170,OFFSET(選手情報!$A$6:$M$119,Z170,0),13,FALSE)),"","/"&amp;VLOOKUP($N170,OFFSET(選手情報!$A$6:$M$119,Z170,0),13,FALSE)),"")</f>
        <v/>
      </c>
      <c r="AB170" s="127" t="str">
        <f ca="1">IF(Z170&lt;&gt;"",IF(ISNA(VLOOKUP($N170,OFFSET(選手情報!$A$6:$BD$119,Z170,0),56,FALSE)),"",VLOOKUP($N170,OFFSET(選手情報!$A$6:$BD$119,Z170,0),56,FALSE)),"")</f>
        <v/>
      </c>
      <c r="AC170" s="127" t="str">
        <f ca="1">IF(AB170&lt;&gt;"",IF(ISNA(VLOOKUP($N170,OFFSET(選手情報!$A$6:$M$119,AB170,0),13,FALSE)),"","/"&amp;VLOOKUP($N170,OFFSET(選手情報!$A$6:$M$119,AB170,0),13,FALSE)),"")</f>
        <v/>
      </c>
      <c r="AD170" s="127" t="str">
        <f ca="1">IF(AB170&lt;&gt;"",IF(ISNA(VLOOKUP($N170,OFFSET(選手情報!$A$6:$BD$119,AB170,0),56,FALSE)),"",VLOOKUP($N170,OFFSET(選手情報!$A$6:$BD$119,AB170,0),56,FALSE)),"")</f>
        <v/>
      </c>
      <c r="AE170" s="127" t="str">
        <f ca="1">IF(AD170&lt;&gt;"",IF(ISNA(VLOOKUP($N170,OFFSET(選手情報!$A$6:$M$119,AD170,0),13,FALSE)),"","/"&amp;VLOOKUP($N170,OFFSET(選手情報!$A$6:$M$119,AD170,0),13,FALSE)),"")</f>
        <v/>
      </c>
      <c r="AF170" s="127" t="str">
        <f ca="1">IF(AD170&lt;&gt;"",IF(ISNA(VLOOKUP($N170,OFFSET(選手情報!$A$6:$BD$119,AD170,0),56,FALSE)),"",VLOOKUP($N170,OFFSET(選手情報!$A$6:$BD$119,AD170,0),56,FALSE)),"")</f>
        <v/>
      </c>
      <c r="AG170" s="127" t="str">
        <f ca="1">IF(AF170&lt;&gt;"",IF(ISNA(VLOOKUP($N170,OFFSET(選手情報!$A$6:$M$119,AF170,0),13,FALSE)),"","/"&amp;VLOOKUP($N170,OFFSET(選手情報!$A$6:$M$119,AF170,0),13,FALSE)),"")</f>
        <v/>
      </c>
      <c r="AH170" s="127" t="str">
        <f ca="1">IF(AF170&lt;&gt;"",IF(ISNA(VLOOKUP($N170,OFFSET(選手情報!$A$6:$BD$119,AF170,0),56,FALSE)),"",VLOOKUP($N170,OFFSET(選手情報!$A$6:$BD$119,AF170,0),56,FALSE)),"")</f>
        <v/>
      </c>
      <c r="AI170" s="127" t="str">
        <f ca="1">IF(AH170&lt;&gt;"",IF(ISNA(VLOOKUP($N170,OFFSET(選手情報!$A$6:$M$119,AH170,0),13,FALSE)),"","/"&amp;VLOOKUP($N170,OFFSET(選手情報!$A$6:$M$119,AH170,0),13,FALSE)),"")</f>
        <v/>
      </c>
      <c r="AJ170" s="127" t="str">
        <f ca="1">IF(AH170&lt;&gt;"",IF(ISNA(VLOOKUP($N170,OFFSET(選手情報!$A$6:$BD$119,AH170,0),56,FALSE)),"",VLOOKUP($N170,OFFSET(選手情報!$A$6:$BD$119,AH170,0),56,FALSE)),"")</f>
        <v/>
      </c>
      <c r="AK170" s="127" t="str">
        <f ca="1">IF(AJ170&lt;&gt;"",IF(ISNA(VLOOKUP($N170,OFFSET(選手情報!$A$6:$M$119,AJ170,0),13,FALSE)),"","/"&amp;VLOOKUP($N170,OFFSET(選手情報!$A$6:$M$119,AJ170,0),13,FALSE)),"")</f>
        <v/>
      </c>
      <c r="AL170" s="127" t="str">
        <f ca="1">IF(AJ170&lt;&gt;"",IF(ISNA(VLOOKUP($N170,OFFSET(選手情報!$A$6:$BD$119,AJ170,0),56,FALSE)),"",VLOOKUP($N170,OFFSET(選手情報!$A$6:$BD$119,AJ170,0),56,FALSE)),"")</f>
        <v/>
      </c>
      <c r="AM170" s="127" t="str">
        <f ca="1">IF(AL170&lt;&gt;"",IF(ISNA(VLOOKUP($N170,OFFSET(選手情報!$A$6:$M$119,AL170,0),13,FALSE)),"","/"&amp;VLOOKUP($N170,OFFSET(選手情報!$A$6:$M$119,AL170,0),13,FALSE)),"")</f>
        <v/>
      </c>
      <c r="AN170" s="127" t="str">
        <f ca="1">IF(AL170&lt;&gt;"",IF(ISNA(VLOOKUP($N170,OFFSET(選手情報!$A$6:$BD$119,AL170,0),56,FALSE)),"",VLOOKUP($N170,OFFSET(選手情報!$A$6:$BD$119,AL170,0),56,FALSE)),"")</f>
        <v/>
      </c>
      <c r="AO170" s="127" t="str">
        <f ca="1">IF(AN170&lt;&gt;"",IF(ISNA(VLOOKUP($N170,OFFSET(選手情報!$A$6:$M$119,AN170,0),13,FALSE)),"","/"&amp;VLOOKUP($N170,OFFSET(選手情報!$A$6:$M$119,AN170,0),13,FALSE)),"")</f>
        <v/>
      </c>
      <c r="AP170" s="127" t="str">
        <f ca="1">IF(AN170&lt;&gt;"",IF(ISNA(VLOOKUP($N170,OFFSET(選手情報!$A$6:$BD$119,AN170,0),56,FALSE)),"",VLOOKUP($N170,OFFSET(選手情報!$A$6:$BD$119,AN170,0),56,FALSE)),"")</f>
        <v/>
      </c>
      <c r="AQ170" s="127" t="str">
        <f ca="1">IF(AP170&lt;&gt;"",IF(ISNA(VLOOKUP($N170,OFFSET(選手情報!$A$6:$M$119,AP170,0),13,FALSE)),"","/"&amp;VLOOKUP($N170,OFFSET(選手情報!$A$6:$M$119,AP170,0),13,FALSE)),"")</f>
        <v/>
      </c>
      <c r="AR170" s="127" t="str">
        <f ca="1">IF(AP170&lt;&gt;"",IF(ISNA(VLOOKUP($N170,OFFSET(選手情報!$A$6:$BD$119,AP170,0),56,FALSE)),"",VLOOKUP($N170,OFFSET(選手情報!$A$6:$BD$119,AP170,0),56,FALSE)),"")</f>
        <v/>
      </c>
      <c r="AS170" s="127" t="str">
        <f ca="1">IF(AR170&lt;&gt;"",IF(ISNA(VLOOKUP($N170,OFFSET(選手情報!$A$6:$M$119,AR170,0),13,FALSE)),"","/"&amp;VLOOKUP($N170,OFFSET(選手情報!$A$6:$M$119,AR170,0),13,FALSE)),"")</f>
        <v/>
      </c>
      <c r="AT170" s="127" t="str">
        <f ca="1">IF(AR170&lt;&gt;"",IF(ISNA(VLOOKUP($N170,OFFSET(選手情報!$A$6:$BD$119,AR170,0),56,FALSE)),"",VLOOKUP($N170,OFFSET(選手情報!$A$6:$BD$119,AR170,0),56,FALSE)),"")</f>
        <v/>
      </c>
      <c r="AU170" s="127" t="str">
        <f ca="1">IF(AT170&lt;&gt;"",IF(ISNA(VLOOKUP($N170,OFFSET(選手情報!$A$6:$M$119,AT170,0),13,FALSE)),"","/"&amp;VLOOKUP($N170,OFFSET(選手情報!$A$6:$M$119,AT170,0),13,FALSE)),"")</f>
        <v/>
      </c>
      <c r="AV170" s="127" t="str">
        <f ca="1">IF(AT170&lt;&gt;"",IF(ISNA(VLOOKUP($N170,OFFSET(選手情報!$A$6:$BD$119,AT170,0),56,FALSE)),"",VLOOKUP($N170,OFFSET(選手情報!$A$6:$BD$119,AT170,0),56,FALSE)),"")</f>
        <v/>
      </c>
      <c r="AW170" s="127" t="str">
        <f ca="1">IF(AV170&lt;&gt;"",IF(ISNA(VLOOKUP($N170,OFFSET(選手情報!$A$6:$M$119,AV170,0),13,FALSE)),"","/"&amp;VLOOKUP($N170,OFFSET(選手情報!$A$6:$M$119,AV170,0),13,FALSE)),"")</f>
        <v/>
      </c>
      <c r="AX170" s="127" t="str">
        <f ca="1">IF(AV170&lt;&gt;"",IF(ISNA(VLOOKUP($N170,OFFSET(選手情報!$A$6:$BD$119,AV170,0),56,FALSE)),"",VLOOKUP($N170,OFFSET(選手情報!$A$6:$BD$119,AV170,0),56,FALSE)),"")</f>
        <v/>
      </c>
      <c r="AY170" s="127" t="str">
        <f ca="1">IF(AX170&lt;&gt;"",IF(ISNA(VLOOKUP($N170,OFFSET(選手情報!$A$6:$M$119,AX170,0),13,FALSE)),"","/"&amp;VLOOKUP($N170,OFFSET(選手情報!$A$6:$M$119,AX170,0),13,FALSE)),"")</f>
        <v/>
      </c>
      <c r="AZ170" s="127" t="str">
        <f ca="1">IF(AX170&lt;&gt;"",IF(ISNA(VLOOKUP($N170,OFFSET(選手情報!$A$6:$BD$119,AX170,0),56,FALSE)),"",VLOOKUP($N170,OFFSET(選手情報!$A$6:$BD$119,AX170,0),56,FALSE)),"")</f>
        <v/>
      </c>
      <c r="BA170" s="127" t="str">
        <f ca="1">IF(AZ170&lt;&gt;"",IF(ISNA(VLOOKUP($N170,OFFSET(選手情報!$A$6:$M$119,AZ170,0),13,FALSE)),"","/"&amp;VLOOKUP($N170,OFFSET(選手情報!$A$6:$M$119,AZ170,0),13,FALSE)),"")</f>
        <v/>
      </c>
      <c r="BB170" s="127" t="str">
        <f ca="1">IF(AZ170&lt;&gt;"",IF(ISNA(VLOOKUP($N170,OFFSET(選手情報!$A$6:$BD$119,AZ170,0),56,FALSE)),"",VLOOKUP($N170,OFFSET(選手情報!$A$6:$BD$119,AZ170,0),56,FALSE)),"")</f>
        <v/>
      </c>
      <c r="BC170" s="127" t="str">
        <f ca="1">IF(BB170&lt;&gt;"",IF(ISNA(VLOOKUP($N170,OFFSET(選手情報!$A$6:$M$119,BB170,0),13,FALSE)),"","/"&amp;VLOOKUP($N170,OFFSET(選手情報!$A$6:$M$119,BB170,0),13,FALSE)),"")</f>
        <v/>
      </c>
      <c r="BD170" s="127" t="str">
        <f ca="1">IF(BB170&lt;&gt;"",IF(ISNA(VLOOKUP($N170,OFFSET(選手情報!$A$6:$BD$119,BB170,0),56,FALSE)),"",VLOOKUP($N170,OFFSET(選手情報!$A$6:$BD$119,BB170,0),56,FALSE)),"")</f>
        <v/>
      </c>
      <c r="BE170" s="127" t="str">
        <f ca="1">IF(BD170&lt;&gt;"",IF(ISNA(VLOOKUP($N170,OFFSET(選手情報!$A$6:$M$119,BD170,0),13,FALSE)),"","/"&amp;VLOOKUP($N170,OFFSET(選手情報!$A$6:$M$119,BD170,0),13,FALSE)),"")</f>
        <v/>
      </c>
      <c r="BF170" s="127" t="str">
        <f ca="1">IF(BD170&lt;&gt;"",IF(ISNA(VLOOKUP($N170,OFFSET(選手情報!$A$6:$BD$119,BD170,0),56,FALSE)),"",VLOOKUP($N170,OFFSET(選手情報!$A$6:$BD$119,BD170,0),56,FALSE)),"")</f>
        <v/>
      </c>
      <c r="BG170" s="127" t="str">
        <f ca="1">IF(BF170&lt;&gt;"",IF(ISNA(VLOOKUP($N170,OFFSET(選手情報!$A$6:$M$119,BF170,0),13,FALSE)),"","/"&amp;VLOOKUP($N170,OFFSET(選手情報!$A$6:$M$119,BF170,0),13,FALSE)),"")</f>
        <v/>
      </c>
      <c r="BH170" s="127" t="str">
        <f ca="1">IF(BF170&lt;&gt;"",IF(ISNA(VLOOKUP($N170,OFFSET(選手情報!$A$6:$BD$119,BF170,0),56,FALSE)),"",VLOOKUP($N170,OFFSET(選手情報!$A$6:$BD$119,BF170,0),56,FALSE)),"")</f>
        <v/>
      </c>
      <c r="BI170" s="127" t="str">
        <f ca="1">IF(BH170&lt;&gt;"",IF(ISNA(VLOOKUP($N170,OFFSET(選手情報!$A$6:$M$119,BH170,0),13,FALSE)),"","/"&amp;VLOOKUP($N170,OFFSET(選手情報!$A$6:$M$119,BH170,0),13,FALSE)),"")</f>
        <v/>
      </c>
    </row>
    <row r="171" spans="1:61" s="127" customFormat="1" ht="12.6" customHeight="1">
      <c r="A171" s="128" t="str">
        <f>IF(ISNA(VLOOKUP($C$2&amp;N171,選手データ!A:H,3,FALSE)),"",IF(M171&lt;&gt;M164,VLOOKUP($C$2&amp;N171,選手データ!A:H,3,FALSE),""))</f>
        <v/>
      </c>
      <c r="B171" s="129" t="str">
        <f>IF(A171&lt;&gt;"",VLOOKUP($C$2&amp;N171,選手データ!A:H,4,FALSE),"")</f>
        <v/>
      </c>
      <c r="C171" s="129" t="str">
        <f>IF(A171&lt;&gt;"",VLOOKUP($C$2&amp;N171,選手データ!A:H,5,FALSE),"")</f>
        <v/>
      </c>
      <c r="D171" s="129" t="str">
        <f>IF(A171&lt;&gt;"",VLOOKUP($C$2&amp;N171,選手データ!A:H,6,FALSE),"")</f>
        <v/>
      </c>
      <c r="E171" s="129" t="str">
        <f>IF(A171&lt;&gt;"",VLOOKUP($C$2&amp;N171,選手データ!A:H,7,FALSE),"")</f>
        <v/>
      </c>
      <c r="F171" s="130" t="str">
        <f>IF(A171&lt;&gt;"",VLOOKUP($C$2&amp;N171,選手データ!A:H,8,FALSE),"")</f>
        <v/>
      </c>
      <c r="G171" s="130" t="str">
        <f>IF(F171&lt;&gt;"",IF(DATEDIF(F171,設定!$B$12,"Y")&lt;20,"〇",""),"")</f>
        <v/>
      </c>
      <c r="H171" s="131" t="str">
        <f t="shared" ca="1" si="26"/>
        <v/>
      </c>
      <c r="I171" s="132" t="str">
        <f t="shared" ca="1" si="27"/>
        <v/>
      </c>
      <c r="J171" s="131" t="str">
        <f t="shared" ca="1" si="28"/>
        <v/>
      </c>
      <c r="K171" s="130" t="str">
        <f>IF(A171&lt;&gt;"",IF(COUNTIF(リレーチーム情報!$B$17:$B$22,A171&amp;E171)=1,"〇",""),"")</f>
        <v/>
      </c>
      <c r="L171" s="133" t="str">
        <f>IF(A171&lt;&gt;"",IF(COUNTIF(リレーチーム情報!$B$23:$B$28,A171&amp;E171)=1,"〇",""),"")</f>
        <v/>
      </c>
      <c r="M171" s="127">
        <f>IF(学校情報!$A$4&lt;&gt;"",0,IF(S170=0,MAX($M$109:M170)+1,M170))</f>
        <v>0</v>
      </c>
      <c r="N171" s="127" t="str">
        <f>IF(M171&lt;&gt;0,VLOOKUP(M171,選手情報!BI:BJ,2,FALSE),"")</f>
        <v/>
      </c>
      <c r="O171" s="127" t="str">
        <f ca="1">IF(M171&lt;&gt;0,VLOOKUP(N171,OFFSET(選手情報!$A$6:$W$119,IF(M171&lt;&gt;M170,0,R170),0),13,FALSE),"")</f>
        <v/>
      </c>
      <c r="P171" s="127" t="str">
        <f ca="1">IF(M171&lt;&gt;0,VLOOKUP(N171,OFFSET(選手情報!$A$6:$W$119,IF(M171&lt;&gt;M170,0,R170),0),16,FALSE),"")</f>
        <v/>
      </c>
      <c r="Q171" s="127" t="str">
        <f ca="1">IF(M171&lt;&gt;0,VLOOKUP(N171,OFFSET(選手情報!$A$6:$W$119,IF(M171&lt;&gt;M170,0,R170),0),21,FALSE),"")</f>
        <v/>
      </c>
      <c r="R171" s="127">
        <f ca="1">IF(M171&lt;&gt;0,VLOOKUP(N171,OFFSET(選手情報!$A$6:$BD$119,IF(M171&lt;&gt;M170,0,R170),0),56,FALSE),0)</f>
        <v>0</v>
      </c>
      <c r="S171" s="127">
        <f ca="1">IF(M171&lt;&gt;0,IF(ISNA(R171),0,COUNTIF(OFFSET(選手情報!$A$6:$A$119,R171,0),N171)),0)</f>
        <v>0</v>
      </c>
      <c r="U171" s="127">
        <f t="shared" si="29"/>
        <v>0</v>
      </c>
      <c r="V171" s="127">
        <f t="shared" ca="1" si="17"/>
        <v>1</v>
      </c>
      <c r="W171" s="127">
        <f t="shared" ca="1" si="12"/>
        <v>0</v>
      </c>
      <c r="X171" s="127" t="str">
        <f t="shared" ca="1" si="18"/>
        <v/>
      </c>
      <c r="Y171" s="127" t="str">
        <f>IF($A171&lt;&gt;"",IF(ISNA(VLOOKUP($N171,選手情報!$A$6:$M$119,13,FALSE)),"","/"&amp;VLOOKUP($N171,選手情報!$A$6:$M$119,13,FALSE)),"")</f>
        <v/>
      </c>
      <c r="Z171" s="127" t="str">
        <f ca="1">IF(Y171&lt;&gt;"",IF(ISNA(VLOOKUP($N171,OFFSET(選手情報!$A$6:$BD$119,0,0),56,FALSE)),"",VLOOKUP($N171,OFFSET(選手情報!$A$6:$BD$119,0,0),56,FALSE)),"")</f>
        <v/>
      </c>
      <c r="AA171" s="127" t="str">
        <f ca="1">IF(Z171&lt;&gt;"",IF(ISNA(VLOOKUP($N171,OFFSET(選手情報!$A$6:$M$119,Z171,0),13,FALSE)),"","/"&amp;VLOOKUP($N171,OFFSET(選手情報!$A$6:$M$119,Z171,0),13,FALSE)),"")</f>
        <v/>
      </c>
      <c r="AB171" s="127" t="str">
        <f ca="1">IF(Z171&lt;&gt;"",IF(ISNA(VLOOKUP($N171,OFFSET(選手情報!$A$6:$BD$119,Z171,0),56,FALSE)),"",VLOOKUP($N171,OFFSET(選手情報!$A$6:$BD$119,Z171,0),56,FALSE)),"")</f>
        <v/>
      </c>
      <c r="AC171" s="127" t="str">
        <f ca="1">IF(AB171&lt;&gt;"",IF(ISNA(VLOOKUP($N171,OFFSET(選手情報!$A$6:$M$119,AB171,0),13,FALSE)),"","/"&amp;VLOOKUP($N171,OFFSET(選手情報!$A$6:$M$119,AB171,0),13,FALSE)),"")</f>
        <v/>
      </c>
      <c r="AD171" s="127" t="str">
        <f ca="1">IF(AB171&lt;&gt;"",IF(ISNA(VLOOKUP($N171,OFFSET(選手情報!$A$6:$BD$119,AB171,0),56,FALSE)),"",VLOOKUP($N171,OFFSET(選手情報!$A$6:$BD$119,AB171,0),56,FALSE)),"")</f>
        <v/>
      </c>
      <c r="AE171" s="127" t="str">
        <f ca="1">IF(AD171&lt;&gt;"",IF(ISNA(VLOOKUP($N171,OFFSET(選手情報!$A$6:$M$119,AD171,0),13,FALSE)),"","/"&amp;VLOOKUP($N171,OFFSET(選手情報!$A$6:$M$119,AD171,0),13,FALSE)),"")</f>
        <v/>
      </c>
      <c r="AF171" s="127" t="str">
        <f ca="1">IF(AD171&lt;&gt;"",IF(ISNA(VLOOKUP($N171,OFFSET(選手情報!$A$6:$BD$119,AD171,0),56,FALSE)),"",VLOOKUP($N171,OFFSET(選手情報!$A$6:$BD$119,AD171,0),56,FALSE)),"")</f>
        <v/>
      </c>
      <c r="AG171" s="127" t="str">
        <f ca="1">IF(AF171&lt;&gt;"",IF(ISNA(VLOOKUP($N171,OFFSET(選手情報!$A$6:$M$119,AF171,0),13,FALSE)),"","/"&amp;VLOOKUP($N171,OFFSET(選手情報!$A$6:$M$119,AF171,0),13,FALSE)),"")</f>
        <v/>
      </c>
      <c r="AH171" s="127" t="str">
        <f ca="1">IF(AF171&lt;&gt;"",IF(ISNA(VLOOKUP($N171,OFFSET(選手情報!$A$6:$BD$119,AF171,0),56,FALSE)),"",VLOOKUP($N171,OFFSET(選手情報!$A$6:$BD$119,AF171,0),56,FALSE)),"")</f>
        <v/>
      </c>
      <c r="AI171" s="127" t="str">
        <f ca="1">IF(AH171&lt;&gt;"",IF(ISNA(VLOOKUP($N171,OFFSET(選手情報!$A$6:$M$119,AH171,0),13,FALSE)),"","/"&amp;VLOOKUP($N171,OFFSET(選手情報!$A$6:$M$119,AH171,0),13,FALSE)),"")</f>
        <v/>
      </c>
      <c r="AJ171" s="127" t="str">
        <f ca="1">IF(AH171&lt;&gt;"",IF(ISNA(VLOOKUP($N171,OFFSET(選手情報!$A$6:$BD$119,AH171,0),56,FALSE)),"",VLOOKUP($N171,OFFSET(選手情報!$A$6:$BD$119,AH171,0),56,FALSE)),"")</f>
        <v/>
      </c>
      <c r="AK171" s="127" t="str">
        <f ca="1">IF(AJ171&lt;&gt;"",IF(ISNA(VLOOKUP($N171,OFFSET(選手情報!$A$6:$M$119,AJ171,0),13,FALSE)),"","/"&amp;VLOOKUP($N171,OFFSET(選手情報!$A$6:$M$119,AJ171,0),13,FALSE)),"")</f>
        <v/>
      </c>
      <c r="AL171" s="127" t="str">
        <f ca="1">IF(AJ171&lt;&gt;"",IF(ISNA(VLOOKUP($N171,OFFSET(選手情報!$A$6:$BD$119,AJ171,0),56,FALSE)),"",VLOOKUP($N171,OFFSET(選手情報!$A$6:$BD$119,AJ171,0),56,FALSE)),"")</f>
        <v/>
      </c>
      <c r="AM171" s="127" t="str">
        <f ca="1">IF(AL171&lt;&gt;"",IF(ISNA(VLOOKUP($N171,OFFSET(選手情報!$A$6:$M$119,AL171,0),13,FALSE)),"","/"&amp;VLOOKUP($N171,OFFSET(選手情報!$A$6:$M$119,AL171,0),13,FALSE)),"")</f>
        <v/>
      </c>
      <c r="AN171" s="127" t="str">
        <f ca="1">IF(AL171&lt;&gt;"",IF(ISNA(VLOOKUP($N171,OFFSET(選手情報!$A$6:$BD$119,AL171,0),56,FALSE)),"",VLOOKUP($N171,OFFSET(選手情報!$A$6:$BD$119,AL171,0),56,FALSE)),"")</f>
        <v/>
      </c>
      <c r="AO171" s="127" t="str">
        <f ca="1">IF(AN171&lt;&gt;"",IF(ISNA(VLOOKUP($N171,OFFSET(選手情報!$A$6:$M$119,AN171,0),13,FALSE)),"","/"&amp;VLOOKUP($N171,OFFSET(選手情報!$A$6:$M$119,AN171,0),13,FALSE)),"")</f>
        <v/>
      </c>
      <c r="AP171" s="127" t="str">
        <f ca="1">IF(AN171&lt;&gt;"",IF(ISNA(VLOOKUP($N171,OFFSET(選手情報!$A$6:$BD$119,AN171,0),56,FALSE)),"",VLOOKUP($N171,OFFSET(選手情報!$A$6:$BD$119,AN171,0),56,FALSE)),"")</f>
        <v/>
      </c>
      <c r="AQ171" s="127" t="str">
        <f ca="1">IF(AP171&lt;&gt;"",IF(ISNA(VLOOKUP($N171,OFFSET(選手情報!$A$6:$M$119,AP171,0),13,FALSE)),"","/"&amp;VLOOKUP($N171,OFFSET(選手情報!$A$6:$M$119,AP171,0),13,FALSE)),"")</f>
        <v/>
      </c>
      <c r="AR171" s="127" t="str">
        <f ca="1">IF(AP171&lt;&gt;"",IF(ISNA(VLOOKUP($N171,OFFSET(選手情報!$A$6:$BD$119,AP171,0),56,FALSE)),"",VLOOKUP($N171,OFFSET(選手情報!$A$6:$BD$119,AP171,0),56,FALSE)),"")</f>
        <v/>
      </c>
      <c r="AS171" s="127" t="str">
        <f ca="1">IF(AR171&lt;&gt;"",IF(ISNA(VLOOKUP($N171,OFFSET(選手情報!$A$6:$M$119,AR171,0),13,FALSE)),"","/"&amp;VLOOKUP($N171,OFFSET(選手情報!$A$6:$M$119,AR171,0),13,FALSE)),"")</f>
        <v/>
      </c>
      <c r="AT171" s="127" t="str">
        <f ca="1">IF(AR171&lt;&gt;"",IF(ISNA(VLOOKUP($N171,OFFSET(選手情報!$A$6:$BD$119,AR171,0),56,FALSE)),"",VLOOKUP($N171,OFFSET(選手情報!$A$6:$BD$119,AR171,0),56,FALSE)),"")</f>
        <v/>
      </c>
      <c r="AU171" s="127" t="str">
        <f ca="1">IF(AT171&lt;&gt;"",IF(ISNA(VLOOKUP($N171,OFFSET(選手情報!$A$6:$M$119,AT171,0),13,FALSE)),"","/"&amp;VLOOKUP($N171,OFFSET(選手情報!$A$6:$M$119,AT171,0),13,FALSE)),"")</f>
        <v/>
      </c>
      <c r="AV171" s="127" t="str">
        <f ca="1">IF(AT171&lt;&gt;"",IF(ISNA(VLOOKUP($N171,OFFSET(選手情報!$A$6:$BD$119,AT171,0),56,FALSE)),"",VLOOKUP($N171,OFFSET(選手情報!$A$6:$BD$119,AT171,0),56,FALSE)),"")</f>
        <v/>
      </c>
      <c r="AW171" s="127" t="str">
        <f ca="1">IF(AV171&lt;&gt;"",IF(ISNA(VLOOKUP($N171,OFFSET(選手情報!$A$6:$M$119,AV171,0),13,FALSE)),"","/"&amp;VLOOKUP($N171,OFFSET(選手情報!$A$6:$M$119,AV171,0),13,FALSE)),"")</f>
        <v/>
      </c>
      <c r="AX171" s="127" t="str">
        <f ca="1">IF(AV171&lt;&gt;"",IF(ISNA(VLOOKUP($N171,OFFSET(選手情報!$A$6:$BD$119,AV171,0),56,FALSE)),"",VLOOKUP($N171,OFFSET(選手情報!$A$6:$BD$119,AV171,0),56,FALSE)),"")</f>
        <v/>
      </c>
      <c r="AY171" s="127" t="str">
        <f ca="1">IF(AX171&lt;&gt;"",IF(ISNA(VLOOKUP($N171,OFFSET(選手情報!$A$6:$M$119,AX171,0),13,FALSE)),"","/"&amp;VLOOKUP($N171,OFFSET(選手情報!$A$6:$M$119,AX171,0),13,FALSE)),"")</f>
        <v/>
      </c>
      <c r="AZ171" s="127" t="str">
        <f ca="1">IF(AX171&lt;&gt;"",IF(ISNA(VLOOKUP($N171,OFFSET(選手情報!$A$6:$BD$119,AX171,0),56,FALSE)),"",VLOOKUP($N171,OFFSET(選手情報!$A$6:$BD$119,AX171,0),56,FALSE)),"")</f>
        <v/>
      </c>
      <c r="BA171" s="127" t="str">
        <f ca="1">IF(AZ171&lt;&gt;"",IF(ISNA(VLOOKUP($N171,OFFSET(選手情報!$A$6:$M$119,AZ171,0),13,FALSE)),"","/"&amp;VLOOKUP($N171,OFFSET(選手情報!$A$6:$M$119,AZ171,0),13,FALSE)),"")</f>
        <v/>
      </c>
      <c r="BB171" s="127" t="str">
        <f ca="1">IF(AZ171&lt;&gt;"",IF(ISNA(VLOOKUP($N171,OFFSET(選手情報!$A$6:$BD$119,AZ171,0),56,FALSE)),"",VLOOKUP($N171,OFFSET(選手情報!$A$6:$BD$119,AZ171,0),56,FALSE)),"")</f>
        <v/>
      </c>
      <c r="BC171" s="127" t="str">
        <f ca="1">IF(BB171&lt;&gt;"",IF(ISNA(VLOOKUP($N171,OFFSET(選手情報!$A$6:$M$119,BB171,0),13,FALSE)),"","/"&amp;VLOOKUP($N171,OFFSET(選手情報!$A$6:$M$119,BB171,0),13,FALSE)),"")</f>
        <v/>
      </c>
      <c r="BD171" s="127" t="str">
        <f ca="1">IF(BB171&lt;&gt;"",IF(ISNA(VLOOKUP($N171,OFFSET(選手情報!$A$6:$BD$119,BB171,0),56,FALSE)),"",VLOOKUP($N171,OFFSET(選手情報!$A$6:$BD$119,BB171,0),56,FALSE)),"")</f>
        <v/>
      </c>
      <c r="BE171" s="127" t="str">
        <f ca="1">IF(BD171&lt;&gt;"",IF(ISNA(VLOOKUP($N171,OFFSET(選手情報!$A$6:$M$119,BD171,0),13,FALSE)),"","/"&amp;VLOOKUP($N171,OFFSET(選手情報!$A$6:$M$119,BD171,0),13,FALSE)),"")</f>
        <v/>
      </c>
      <c r="BF171" s="127" t="str">
        <f ca="1">IF(BD171&lt;&gt;"",IF(ISNA(VLOOKUP($N171,OFFSET(選手情報!$A$6:$BD$119,BD171,0),56,FALSE)),"",VLOOKUP($N171,OFFSET(選手情報!$A$6:$BD$119,BD171,0),56,FALSE)),"")</f>
        <v/>
      </c>
      <c r="BG171" s="127" t="str">
        <f ca="1">IF(BF171&lt;&gt;"",IF(ISNA(VLOOKUP($N171,OFFSET(選手情報!$A$6:$M$119,BF171,0),13,FALSE)),"","/"&amp;VLOOKUP($N171,OFFSET(選手情報!$A$6:$M$119,BF171,0),13,FALSE)),"")</f>
        <v/>
      </c>
      <c r="BH171" s="127" t="str">
        <f ca="1">IF(BF171&lt;&gt;"",IF(ISNA(VLOOKUP($N171,OFFSET(選手情報!$A$6:$BD$119,BF171,0),56,FALSE)),"",VLOOKUP($N171,OFFSET(選手情報!$A$6:$BD$119,BF171,0),56,FALSE)),"")</f>
        <v/>
      </c>
      <c r="BI171" s="127" t="str">
        <f ca="1">IF(BH171&lt;&gt;"",IF(ISNA(VLOOKUP($N171,OFFSET(選手情報!$A$6:$M$119,BH171,0),13,FALSE)),"","/"&amp;VLOOKUP($N171,OFFSET(選手情報!$A$6:$M$119,BH171,0),13,FALSE)),"")</f>
        <v/>
      </c>
    </row>
    <row r="172" spans="1:61" s="127" customFormat="1" ht="12.6" customHeight="1">
      <c r="A172" s="128" t="str">
        <f>IF(ISNA(VLOOKUP($C$2&amp;N172,選手データ!A:H,3,FALSE)),"",IF(M172&lt;&gt;M165,VLOOKUP($C$2&amp;N172,選手データ!A:H,3,FALSE),""))</f>
        <v/>
      </c>
      <c r="B172" s="129" t="str">
        <f>IF(A172&lt;&gt;"",VLOOKUP($C$2&amp;N172,選手データ!A:H,4,FALSE),"")</f>
        <v/>
      </c>
      <c r="C172" s="129" t="str">
        <f>IF(A172&lt;&gt;"",VLOOKUP($C$2&amp;N172,選手データ!A:H,5,FALSE),"")</f>
        <v/>
      </c>
      <c r="D172" s="129" t="str">
        <f>IF(A172&lt;&gt;"",VLOOKUP($C$2&amp;N172,選手データ!A:H,6,FALSE),"")</f>
        <v/>
      </c>
      <c r="E172" s="129" t="str">
        <f>IF(A172&lt;&gt;"",VLOOKUP($C$2&amp;N172,選手データ!A:H,7,FALSE),"")</f>
        <v/>
      </c>
      <c r="F172" s="130" t="str">
        <f>IF(A172&lt;&gt;"",VLOOKUP($C$2&amp;N172,選手データ!A:H,8,FALSE),"")</f>
        <v/>
      </c>
      <c r="G172" s="130" t="str">
        <f>IF(F172&lt;&gt;"",IF(DATEDIF(F172,設定!$B$12,"Y")&lt;20,"〇",""),"")</f>
        <v/>
      </c>
      <c r="H172" s="131" t="str">
        <f t="shared" ca="1" si="26"/>
        <v/>
      </c>
      <c r="I172" s="132" t="str">
        <f t="shared" ca="1" si="27"/>
        <v/>
      </c>
      <c r="J172" s="131" t="str">
        <f t="shared" ca="1" si="28"/>
        <v/>
      </c>
      <c r="K172" s="130" t="str">
        <f>IF(A172&lt;&gt;"",IF(COUNTIF(リレーチーム情報!$B$17:$B$22,A172&amp;E172)=1,"〇",""),"")</f>
        <v/>
      </c>
      <c r="L172" s="133" t="str">
        <f>IF(A172&lt;&gt;"",IF(COUNTIF(リレーチーム情報!$B$23:$B$28,A172&amp;E172)=1,"〇",""),"")</f>
        <v/>
      </c>
      <c r="M172" s="127">
        <f>IF(学校情報!$A$4&lt;&gt;"",0,IF(S171=0,MAX($M$109:M171)+1,M171))</f>
        <v>0</v>
      </c>
      <c r="N172" s="127" t="str">
        <f>IF(M172&lt;&gt;0,VLOOKUP(M172,選手情報!BI:BJ,2,FALSE),"")</f>
        <v/>
      </c>
      <c r="O172" s="127" t="str">
        <f ca="1">IF(M172&lt;&gt;0,VLOOKUP(N172,OFFSET(選手情報!$A$6:$W$119,IF(M172&lt;&gt;M171,0,R171),0),13,FALSE),"")</f>
        <v/>
      </c>
      <c r="P172" s="127" t="str">
        <f ca="1">IF(M172&lt;&gt;0,VLOOKUP(N172,OFFSET(選手情報!$A$6:$W$119,IF(M172&lt;&gt;M171,0,R171),0),16,FALSE),"")</f>
        <v/>
      </c>
      <c r="Q172" s="127" t="str">
        <f ca="1">IF(M172&lt;&gt;0,VLOOKUP(N172,OFFSET(選手情報!$A$6:$W$119,IF(M172&lt;&gt;M171,0,R171),0),21,FALSE),"")</f>
        <v/>
      </c>
      <c r="R172" s="127">
        <f ca="1">IF(M172&lt;&gt;0,VLOOKUP(N172,OFFSET(選手情報!$A$6:$BD$119,IF(M172&lt;&gt;M171,0,R171),0),56,FALSE),0)</f>
        <v>0</v>
      </c>
      <c r="S172" s="127">
        <f ca="1">IF(M172&lt;&gt;0,IF(ISNA(R172),0,COUNTIF(OFFSET(選手情報!$A$6:$A$119,R172,0),N172)),0)</f>
        <v>0</v>
      </c>
      <c r="U172" s="127">
        <f t="shared" si="29"/>
        <v>0</v>
      </c>
      <c r="V172" s="127">
        <f t="shared" ca="1" si="17"/>
        <v>1</v>
      </c>
      <c r="W172" s="127">
        <f t="shared" ca="1" si="12"/>
        <v>0</v>
      </c>
      <c r="X172" s="127" t="str">
        <f t="shared" ca="1" si="18"/>
        <v/>
      </c>
      <c r="Y172" s="127" t="str">
        <f>IF($A172&lt;&gt;"",IF(ISNA(VLOOKUP($N172,選手情報!$A$6:$M$119,13,FALSE)),"","/"&amp;VLOOKUP($N172,選手情報!$A$6:$M$119,13,FALSE)),"")</f>
        <v/>
      </c>
      <c r="Z172" s="127" t="str">
        <f ca="1">IF(Y172&lt;&gt;"",IF(ISNA(VLOOKUP($N172,OFFSET(選手情報!$A$6:$BD$119,0,0),56,FALSE)),"",VLOOKUP($N172,OFFSET(選手情報!$A$6:$BD$119,0,0),56,FALSE)),"")</f>
        <v/>
      </c>
      <c r="AA172" s="127" t="str">
        <f ca="1">IF(Z172&lt;&gt;"",IF(ISNA(VLOOKUP($N172,OFFSET(選手情報!$A$6:$M$119,Z172,0),13,FALSE)),"","/"&amp;VLOOKUP($N172,OFFSET(選手情報!$A$6:$M$119,Z172,0),13,FALSE)),"")</f>
        <v/>
      </c>
      <c r="AB172" s="127" t="str">
        <f ca="1">IF(Z172&lt;&gt;"",IF(ISNA(VLOOKUP($N172,OFFSET(選手情報!$A$6:$BD$119,Z172,0),56,FALSE)),"",VLOOKUP($N172,OFFSET(選手情報!$A$6:$BD$119,Z172,0),56,FALSE)),"")</f>
        <v/>
      </c>
      <c r="AC172" s="127" t="str">
        <f ca="1">IF(AB172&lt;&gt;"",IF(ISNA(VLOOKUP($N172,OFFSET(選手情報!$A$6:$M$119,AB172,0),13,FALSE)),"","/"&amp;VLOOKUP($N172,OFFSET(選手情報!$A$6:$M$119,AB172,0),13,FALSE)),"")</f>
        <v/>
      </c>
      <c r="AD172" s="127" t="str">
        <f ca="1">IF(AB172&lt;&gt;"",IF(ISNA(VLOOKUP($N172,OFFSET(選手情報!$A$6:$BD$119,AB172,0),56,FALSE)),"",VLOOKUP($N172,OFFSET(選手情報!$A$6:$BD$119,AB172,0),56,FALSE)),"")</f>
        <v/>
      </c>
      <c r="AE172" s="127" t="str">
        <f ca="1">IF(AD172&lt;&gt;"",IF(ISNA(VLOOKUP($N172,OFFSET(選手情報!$A$6:$M$119,AD172,0),13,FALSE)),"","/"&amp;VLOOKUP($N172,OFFSET(選手情報!$A$6:$M$119,AD172,0),13,FALSE)),"")</f>
        <v/>
      </c>
      <c r="AF172" s="127" t="str">
        <f ca="1">IF(AD172&lt;&gt;"",IF(ISNA(VLOOKUP($N172,OFFSET(選手情報!$A$6:$BD$119,AD172,0),56,FALSE)),"",VLOOKUP($N172,OFFSET(選手情報!$A$6:$BD$119,AD172,0),56,FALSE)),"")</f>
        <v/>
      </c>
      <c r="AG172" s="127" t="str">
        <f ca="1">IF(AF172&lt;&gt;"",IF(ISNA(VLOOKUP($N172,OFFSET(選手情報!$A$6:$M$119,AF172,0),13,FALSE)),"","/"&amp;VLOOKUP($N172,OFFSET(選手情報!$A$6:$M$119,AF172,0),13,FALSE)),"")</f>
        <v/>
      </c>
      <c r="AH172" s="127" t="str">
        <f ca="1">IF(AF172&lt;&gt;"",IF(ISNA(VLOOKUP($N172,OFFSET(選手情報!$A$6:$BD$119,AF172,0),56,FALSE)),"",VLOOKUP($N172,OFFSET(選手情報!$A$6:$BD$119,AF172,0),56,FALSE)),"")</f>
        <v/>
      </c>
      <c r="AI172" s="127" t="str">
        <f ca="1">IF(AH172&lt;&gt;"",IF(ISNA(VLOOKUP($N172,OFFSET(選手情報!$A$6:$M$119,AH172,0),13,FALSE)),"","/"&amp;VLOOKUP($N172,OFFSET(選手情報!$A$6:$M$119,AH172,0),13,FALSE)),"")</f>
        <v/>
      </c>
      <c r="AJ172" s="127" t="str">
        <f ca="1">IF(AH172&lt;&gt;"",IF(ISNA(VLOOKUP($N172,OFFSET(選手情報!$A$6:$BD$119,AH172,0),56,FALSE)),"",VLOOKUP($N172,OFFSET(選手情報!$A$6:$BD$119,AH172,0),56,FALSE)),"")</f>
        <v/>
      </c>
      <c r="AK172" s="127" t="str">
        <f ca="1">IF(AJ172&lt;&gt;"",IF(ISNA(VLOOKUP($N172,OFFSET(選手情報!$A$6:$M$119,AJ172,0),13,FALSE)),"","/"&amp;VLOOKUP($N172,OFFSET(選手情報!$A$6:$M$119,AJ172,0),13,FALSE)),"")</f>
        <v/>
      </c>
      <c r="AL172" s="127" t="str">
        <f ca="1">IF(AJ172&lt;&gt;"",IF(ISNA(VLOOKUP($N172,OFFSET(選手情報!$A$6:$BD$119,AJ172,0),56,FALSE)),"",VLOOKUP($N172,OFFSET(選手情報!$A$6:$BD$119,AJ172,0),56,FALSE)),"")</f>
        <v/>
      </c>
      <c r="AM172" s="127" t="str">
        <f ca="1">IF(AL172&lt;&gt;"",IF(ISNA(VLOOKUP($N172,OFFSET(選手情報!$A$6:$M$119,AL172,0),13,FALSE)),"","/"&amp;VLOOKUP($N172,OFFSET(選手情報!$A$6:$M$119,AL172,0),13,FALSE)),"")</f>
        <v/>
      </c>
      <c r="AN172" s="127" t="str">
        <f ca="1">IF(AL172&lt;&gt;"",IF(ISNA(VLOOKUP($N172,OFFSET(選手情報!$A$6:$BD$119,AL172,0),56,FALSE)),"",VLOOKUP($N172,OFFSET(選手情報!$A$6:$BD$119,AL172,0),56,FALSE)),"")</f>
        <v/>
      </c>
      <c r="AO172" s="127" t="str">
        <f ca="1">IF(AN172&lt;&gt;"",IF(ISNA(VLOOKUP($N172,OFFSET(選手情報!$A$6:$M$119,AN172,0),13,FALSE)),"","/"&amp;VLOOKUP($N172,OFFSET(選手情報!$A$6:$M$119,AN172,0),13,FALSE)),"")</f>
        <v/>
      </c>
      <c r="AP172" s="127" t="str">
        <f ca="1">IF(AN172&lt;&gt;"",IF(ISNA(VLOOKUP($N172,OFFSET(選手情報!$A$6:$BD$119,AN172,0),56,FALSE)),"",VLOOKUP($N172,OFFSET(選手情報!$A$6:$BD$119,AN172,0),56,FALSE)),"")</f>
        <v/>
      </c>
      <c r="AQ172" s="127" t="str">
        <f ca="1">IF(AP172&lt;&gt;"",IF(ISNA(VLOOKUP($N172,OFFSET(選手情報!$A$6:$M$119,AP172,0),13,FALSE)),"","/"&amp;VLOOKUP($N172,OFFSET(選手情報!$A$6:$M$119,AP172,0),13,FALSE)),"")</f>
        <v/>
      </c>
      <c r="AR172" s="127" t="str">
        <f ca="1">IF(AP172&lt;&gt;"",IF(ISNA(VLOOKUP($N172,OFFSET(選手情報!$A$6:$BD$119,AP172,0),56,FALSE)),"",VLOOKUP($N172,OFFSET(選手情報!$A$6:$BD$119,AP172,0),56,FALSE)),"")</f>
        <v/>
      </c>
      <c r="AS172" s="127" t="str">
        <f ca="1">IF(AR172&lt;&gt;"",IF(ISNA(VLOOKUP($N172,OFFSET(選手情報!$A$6:$M$119,AR172,0),13,FALSE)),"","/"&amp;VLOOKUP($N172,OFFSET(選手情報!$A$6:$M$119,AR172,0),13,FALSE)),"")</f>
        <v/>
      </c>
      <c r="AT172" s="127" t="str">
        <f ca="1">IF(AR172&lt;&gt;"",IF(ISNA(VLOOKUP($N172,OFFSET(選手情報!$A$6:$BD$119,AR172,0),56,FALSE)),"",VLOOKUP($N172,OFFSET(選手情報!$A$6:$BD$119,AR172,0),56,FALSE)),"")</f>
        <v/>
      </c>
      <c r="AU172" s="127" t="str">
        <f ca="1">IF(AT172&lt;&gt;"",IF(ISNA(VLOOKUP($N172,OFFSET(選手情報!$A$6:$M$119,AT172,0),13,FALSE)),"","/"&amp;VLOOKUP($N172,OFFSET(選手情報!$A$6:$M$119,AT172,0),13,FALSE)),"")</f>
        <v/>
      </c>
      <c r="AV172" s="127" t="str">
        <f ca="1">IF(AT172&lt;&gt;"",IF(ISNA(VLOOKUP($N172,OFFSET(選手情報!$A$6:$BD$119,AT172,0),56,FALSE)),"",VLOOKUP($N172,OFFSET(選手情報!$A$6:$BD$119,AT172,0),56,FALSE)),"")</f>
        <v/>
      </c>
      <c r="AW172" s="127" t="str">
        <f ca="1">IF(AV172&lt;&gt;"",IF(ISNA(VLOOKUP($N172,OFFSET(選手情報!$A$6:$M$119,AV172,0),13,FALSE)),"","/"&amp;VLOOKUP($N172,OFFSET(選手情報!$A$6:$M$119,AV172,0),13,FALSE)),"")</f>
        <v/>
      </c>
      <c r="AX172" s="127" t="str">
        <f ca="1">IF(AV172&lt;&gt;"",IF(ISNA(VLOOKUP($N172,OFFSET(選手情報!$A$6:$BD$119,AV172,0),56,FALSE)),"",VLOOKUP($N172,OFFSET(選手情報!$A$6:$BD$119,AV172,0),56,FALSE)),"")</f>
        <v/>
      </c>
      <c r="AY172" s="127" t="str">
        <f ca="1">IF(AX172&lt;&gt;"",IF(ISNA(VLOOKUP($N172,OFFSET(選手情報!$A$6:$M$119,AX172,0),13,FALSE)),"","/"&amp;VLOOKUP($N172,OFFSET(選手情報!$A$6:$M$119,AX172,0),13,FALSE)),"")</f>
        <v/>
      </c>
      <c r="AZ172" s="127" t="str">
        <f ca="1">IF(AX172&lt;&gt;"",IF(ISNA(VLOOKUP($N172,OFFSET(選手情報!$A$6:$BD$119,AX172,0),56,FALSE)),"",VLOOKUP($N172,OFFSET(選手情報!$A$6:$BD$119,AX172,0),56,FALSE)),"")</f>
        <v/>
      </c>
      <c r="BA172" s="127" t="str">
        <f ca="1">IF(AZ172&lt;&gt;"",IF(ISNA(VLOOKUP($N172,OFFSET(選手情報!$A$6:$M$119,AZ172,0),13,FALSE)),"","/"&amp;VLOOKUP($N172,OFFSET(選手情報!$A$6:$M$119,AZ172,0),13,FALSE)),"")</f>
        <v/>
      </c>
      <c r="BB172" s="127" t="str">
        <f ca="1">IF(AZ172&lt;&gt;"",IF(ISNA(VLOOKUP($N172,OFFSET(選手情報!$A$6:$BD$119,AZ172,0),56,FALSE)),"",VLOOKUP($N172,OFFSET(選手情報!$A$6:$BD$119,AZ172,0),56,FALSE)),"")</f>
        <v/>
      </c>
      <c r="BC172" s="127" t="str">
        <f ca="1">IF(BB172&lt;&gt;"",IF(ISNA(VLOOKUP($N172,OFFSET(選手情報!$A$6:$M$119,BB172,0),13,FALSE)),"","/"&amp;VLOOKUP($N172,OFFSET(選手情報!$A$6:$M$119,BB172,0),13,FALSE)),"")</f>
        <v/>
      </c>
      <c r="BD172" s="127" t="str">
        <f ca="1">IF(BB172&lt;&gt;"",IF(ISNA(VLOOKUP($N172,OFFSET(選手情報!$A$6:$BD$119,BB172,0),56,FALSE)),"",VLOOKUP($N172,OFFSET(選手情報!$A$6:$BD$119,BB172,0),56,FALSE)),"")</f>
        <v/>
      </c>
      <c r="BE172" s="127" t="str">
        <f ca="1">IF(BD172&lt;&gt;"",IF(ISNA(VLOOKUP($N172,OFFSET(選手情報!$A$6:$M$119,BD172,0),13,FALSE)),"","/"&amp;VLOOKUP($N172,OFFSET(選手情報!$A$6:$M$119,BD172,0),13,FALSE)),"")</f>
        <v/>
      </c>
      <c r="BF172" s="127" t="str">
        <f ca="1">IF(BD172&lt;&gt;"",IF(ISNA(VLOOKUP($N172,OFFSET(選手情報!$A$6:$BD$119,BD172,0),56,FALSE)),"",VLOOKUP($N172,OFFSET(選手情報!$A$6:$BD$119,BD172,0),56,FALSE)),"")</f>
        <v/>
      </c>
      <c r="BG172" s="127" t="str">
        <f ca="1">IF(BF172&lt;&gt;"",IF(ISNA(VLOOKUP($N172,OFFSET(選手情報!$A$6:$M$119,BF172,0),13,FALSE)),"","/"&amp;VLOOKUP($N172,OFFSET(選手情報!$A$6:$M$119,BF172,0),13,FALSE)),"")</f>
        <v/>
      </c>
      <c r="BH172" s="127" t="str">
        <f ca="1">IF(BF172&lt;&gt;"",IF(ISNA(VLOOKUP($N172,OFFSET(選手情報!$A$6:$BD$119,BF172,0),56,FALSE)),"",VLOOKUP($N172,OFFSET(選手情報!$A$6:$BD$119,BF172,0),56,FALSE)),"")</f>
        <v/>
      </c>
      <c r="BI172" s="127" t="str">
        <f ca="1">IF(BH172&lt;&gt;"",IF(ISNA(VLOOKUP($N172,OFFSET(選手情報!$A$6:$M$119,BH172,0),13,FALSE)),"","/"&amp;VLOOKUP($N172,OFFSET(選手情報!$A$6:$M$119,BH172,0),13,FALSE)),"")</f>
        <v/>
      </c>
    </row>
    <row r="173" spans="1:61" s="127" customFormat="1" ht="12.6" customHeight="1">
      <c r="A173" s="128" t="str">
        <f>IF(ISNA(VLOOKUP($C$2&amp;N173,選手データ!A:H,3,FALSE)),"",IF(M173&lt;&gt;M166,VLOOKUP($C$2&amp;N173,選手データ!A:H,3,FALSE),""))</f>
        <v/>
      </c>
      <c r="B173" s="129" t="str">
        <f>IF(A173&lt;&gt;"",VLOOKUP($C$2&amp;N173,選手データ!A:H,4,FALSE),"")</f>
        <v/>
      </c>
      <c r="C173" s="129" t="str">
        <f>IF(A173&lt;&gt;"",VLOOKUP($C$2&amp;N173,選手データ!A:H,5,FALSE),"")</f>
        <v/>
      </c>
      <c r="D173" s="129" t="str">
        <f>IF(A173&lt;&gt;"",VLOOKUP($C$2&amp;N173,選手データ!A:H,6,FALSE),"")</f>
        <v/>
      </c>
      <c r="E173" s="129" t="str">
        <f>IF(A173&lt;&gt;"",VLOOKUP($C$2&amp;N173,選手データ!A:H,7,FALSE),"")</f>
        <v/>
      </c>
      <c r="F173" s="130" t="str">
        <f>IF(A173&lt;&gt;"",VLOOKUP($C$2&amp;N173,選手データ!A:H,8,FALSE),"")</f>
        <v/>
      </c>
      <c r="G173" s="130" t="str">
        <f>IF(F173&lt;&gt;"",IF(DATEDIF(F173,設定!$B$12,"Y")&lt;20,"〇",""),"")</f>
        <v/>
      </c>
      <c r="H173" s="131" t="str">
        <f t="shared" ca="1" si="26"/>
        <v/>
      </c>
      <c r="I173" s="132" t="str">
        <f t="shared" ca="1" si="27"/>
        <v/>
      </c>
      <c r="J173" s="131" t="str">
        <f t="shared" ca="1" si="28"/>
        <v/>
      </c>
      <c r="K173" s="130" t="str">
        <f>IF(A173&lt;&gt;"",IF(COUNTIF(リレーチーム情報!$B$17:$B$22,A173&amp;E173)=1,"〇",""),"")</f>
        <v/>
      </c>
      <c r="L173" s="133" t="str">
        <f>IF(A173&lt;&gt;"",IF(COUNTIF(リレーチーム情報!$B$23:$B$28,A173&amp;E173)=1,"〇",""),"")</f>
        <v/>
      </c>
      <c r="M173" s="127">
        <f>IF(学校情報!$A$4&lt;&gt;"",0,IF(S172=0,MAX($M$109:M172)+1,M172))</f>
        <v>0</v>
      </c>
      <c r="N173" s="127" t="str">
        <f>IF(M173&lt;&gt;0,VLOOKUP(M173,選手情報!BI:BJ,2,FALSE),"")</f>
        <v/>
      </c>
      <c r="O173" s="127" t="str">
        <f ca="1">IF(M173&lt;&gt;0,VLOOKUP(N173,OFFSET(選手情報!$A$6:$W$119,IF(M173&lt;&gt;M172,0,R172),0),13,FALSE),"")</f>
        <v/>
      </c>
      <c r="P173" s="127" t="str">
        <f ca="1">IF(M173&lt;&gt;0,VLOOKUP(N173,OFFSET(選手情報!$A$6:$W$119,IF(M173&lt;&gt;M172,0,R172),0),16,FALSE),"")</f>
        <v/>
      </c>
      <c r="Q173" s="127" t="str">
        <f ca="1">IF(M173&lt;&gt;0,VLOOKUP(N173,OFFSET(選手情報!$A$6:$W$119,IF(M173&lt;&gt;M172,0,R172),0),21,FALSE),"")</f>
        <v/>
      </c>
      <c r="R173" s="127">
        <f ca="1">IF(M173&lt;&gt;0,VLOOKUP(N173,OFFSET(選手情報!$A$6:$BD$119,IF(M173&lt;&gt;M172,0,R172),0),56,FALSE),0)</f>
        <v>0</v>
      </c>
      <c r="S173" s="127">
        <f ca="1">IF(M173&lt;&gt;0,IF(ISNA(R173),0,COUNTIF(OFFSET(選手情報!$A$6:$A$119,R173,0),N173)),0)</f>
        <v>0</v>
      </c>
      <c r="U173" s="127">
        <f t="shared" si="29"/>
        <v>0</v>
      </c>
      <c r="V173" s="127">
        <f t="shared" ca="1" si="17"/>
        <v>1</v>
      </c>
      <c r="W173" s="127">
        <f ca="1">IF(ISNA(N173),0,IF(AND(N173&lt;&gt;"",ISNA(O173)),1,0))</f>
        <v>0</v>
      </c>
      <c r="X173" s="127" t="str">
        <f t="shared" ca="1" si="18"/>
        <v/>
      </c>
      <c r="Y173" s="127" t="str">
        <f>IF($A173&lt;&gt;"",IF(ISNA(VLOOKUP($N173,選手情報!$A$6:$M$119,13,FALSE)),"","/"&amp;VLOOKUP($N173,選手情報!$A$6:$M$119,13,FALSE)),"")</f>
        <v/>
      </c>
      <c r="Z173" s="127" t="str">
        <f ca="1">IF(Y173&lt;&gt;"",IF(ISNA(VLOOKUP($N173,OFFSET(選手情報!$A$6:$BD$119,0,0),56,FALSE)),"",VLOOKUP($N173,OFFSET(選手情報!$A$6:$BD$119,0,0),56,FALSE)),"")</f>
        <v/>
      </c>
      <c r="AA173" s="127" t="str">
        <f ca="1">IF(Z173&lt;&gt;"",IF(ISNA(VLOOKUP($N173,OFFSET(選手情報!$A$6:$M$119,Z173,0),13,FALSE)),"","/"&amp;VLOOKUP($N173,OFFSET(選手情報!$A$6:$M$119,Z173,0),13,FALSE)),"")</f>
        <v/>
      </c>
      <c r="AB173" s="127" t="str">
        <f ca="1">IF(Z173&lt;&gt;"",IF(ISNA(VLOOKUP($N173,OFFSET(選手情報!$A$6:$BD$119,Z173,0),56,FALSE)),"",VLOOKUP($N173,OFFSET(選手情報!$A$6:$BD$119,Z173,0),56,FALSE)),"")</f>
        <v/>
      </c>
      <c r="AC173" s="127" t="str">
        <f ca="1">IF(AB173&lt;&gt;"",IF(ISNA(VLOOKUP($N173,OFFSET(選手情報!$A$6:$M$119,AB173,0),13,FALSE)),"","/"&amp;VLOOKUP($N173,OFFSET(選手情報!$A$6:$M$119,AB173,0),13,FALSE)),"")</f>
        <v/>
      </c>
      <c r="AD173" s="127" t="str">
        <f ca="1">IF(AB173&lt;&gt;"",IF(ISNA(VLOOKUP($N173,OFFSET(選手情報!$A$6:$BD$119,AB173,0),56,FALSE)),"",VLOOKUP($N173,OFFSET(選手情報!$A$6:$BD$119,AB173,0),56,FALSE)),"")</f>
        <v/>
      </c>
      <c r="AE173" s="127" t="str">
        <f ca="1">IF(AD173&lt;&gt;"",IF(ISNA(VLOOKUP($N173,OFFSET(選手情報!$A$6:$M$119,AD173,0),13,FALSE)),"","/"&amp;VLOOKUP($N173,OFFSET(選手情報!$A$6:$M$119,AD173,0),13,FALSE)),"")</f>
        <v/>
      </c>
      <c r="AF173" s="127" t="str">
        <f ca="1">IF(AD173&lt;&gt;"",IF(ISNA(VLOOKUP($N173,OFFSET(選手情報!$A$6:$BD$119,AD173,0),56,FALSE)),"",VLOOKUP($N173,OFFSET(選手情報!$A$6:$BD$119,AD173,0),56,FALSE)),"")</f>
        <v/>
      </c>
      <c r="AG173" s="127" t="str">
        <f ca="1">IF(AF173&lt;&gt;"",IF(ISNA(VLOOKUP($N173,OFFSET(選手情報!$A$6:$M$119,AF173,0),13,FALSE)),"","/"&amp;VLOOKUP($N173,OFFSET(選手情報!$A$6:$M$119,AF173,0),13,FALSE)),"")</f>
        <v/>
      </c>
      <c r="AH173" s="127" t="str">
        <f ca="1">IF(AF173&lt;&gt;"",IF(ISNA(VLOOKUP($N173,OFFSET(選手情報!$A$6:$BD$119,AF173,0),56,FALSE)),"",VLOOKUP($N173,OFFSET(選手情報!$A$6:$BD$119,AF173,0),56,FALSE)),"")</f>
        <v/>
      </c>
      <c r="AI173" s="127" t="str">
        <f ca="1">IF(AH173&lt;&gt;"",IF(ISNA(VLOOKUP($N173,OFFSET(選手情報!$A$6:$M$119,AH173,0),13,FALSE)),"","/"&amp;VLOOKUP($N173,OFFSET(選手情報!$A$6:$M$119,AH173,0),13,FALSE)),"")</f>
        <v/>
      </c>
      <c r="AJ173" s="127" t="str">
        <f ca="1">IF(AH173&lt;&gt;"",IF(ISNA(VLOOKUP($N173,OFFSET(選手情報!$A$6:$BD$119,AH173,0),56,FALSE)),"",VLOOKUP($N173,OFFSET(選手情報!$A$6:$BD$119,AH173,0),56,FALSE)),"")</f>
        <v/>
      </c>
      <c r="AK173" s="127" t="str">
        <f ca="1">IF(AJ173&lt;&gt;"",IF(ISNA(VLOOKUP($N173,OFFSET(選手情報!$A$6:$M$119,AJ173,0),13,FALSE)),"","/"&amp;VLOOKUP($N173,OFFSET(選手情報!$A$6:$M$119,AJ173,0),13,FALSE)),"")</f>
        <v/>
      </c>
      <c r="AL173" s="127" t="str">
        <f ca="1">IF(AJ173&lt;&gt;"",IF(ISNA(VLOOKUP($N173,OFFSET(選手情報!$A$6:$BD$119,AJ173,0),56,FALSE)),"",VLOOKUP($N173,OFFSET(選手情報!$A$6:$BD$119,AJ173,0),56,FALSE)),"")</f>
        <v/>
      </c>
      <c r="AM173" s="127" t="str">
        <f ca="1">IF(AL173&lt;&gt;"",IF(ISNA(VLOOKUP($N173,OFFSET(選手情報!$A$6:$M$119,AL173,0),13,FALSE)),"","/"&amp;VLOOKUP($N173,OFFSET(選手情報!$A$6:$M$119,AL173,0),13,FALSE)),"")</f>
        <v/>
      </c>
      <c r="AN173" s="127" t="str">
        <f ca="1">IF(AL173&lt;&gt;"",IF(ISNA(VLOOKUP($N173,OFFSET(選手情報!$A$6:$BD$119,AL173,0),56,FALSE)),"",VLOOKUP($N173,OFFSET(選手情報!$A$6:$BD$119,AL173,0),56,FALSE)),"")</f>
        <v/>
      </c>
      <c r="AO173" s="127" t="str">
        <f ca="1">IF(AN173&lt;&gt;"",IF(ISNA(VLOOKUP($N173,OFFSET(選手情報!$A$6:$M$119,AN173,0),13,FALSE)),"","/"&amp;VLOOKUP($N173,OFFSET(選手情報!$A$6:$M$119,AN173,0),13,FALSE)),"")</f>
        <v/>
      </c>
      <c r="AP173" s="127" t="str">
        <f ca="1">IF(AN173&lt;&gt;"",IF(ISNA(VLOOKUP($N173,OFFSET(選手情報!$A$6:$BD$119,AN173,0),56,FALSE)),"",VLOOKUP($N173,OFFSET(選手情報!$A$6:$BD$119,AN173,0),56,FALSE)),"")</f>
        <v/>
      </c>
      <c r="AQ173" s="127" t="str">
        <f ca="1">IF(AP173&lt;&gt;"",IF(ISNA(VLOOKUP($N173,OFFSET(選手情報!$A$6:$M$119,AP173,0),13,FALSE)),"","/"&amp;VLOOKUP($N173,OFFSET(選手情報!$A$6:$M$119,AP173,0),13,FALSE)),"")</f>
        <v/>
      </c>
      <c r="AR173" s="127" t="str">
        <f ca="1">IF(AP173&lt;&gt;"",IF(ISNA(VLOOKUP($N173,OFFSET(選手情報!$A$6:$BD$119,AP173,0),56,FALSE)),"",VLOOKUP($N173,OFFSET(選手情報!$A$6:$BD$119,AP173,0),56,FALSE)),"")</f>
        <v/>
      </c>
      <c r="AS173" s="127" t="str">
        <f ca="1">IF(AR173&lt;&gt;"",IF(ISNA(VLOOKUP($N173,OFFSET(選手情報!$A$6:$M$119,AR173,0),13,FALSE)),"","/"&amp;VLOOKUP($N173,OFFSET(選手情報!$A$6:$M$119,AR173,0),13,FALSE)),"")</f>
        <v/>
      </c>
      <c r="AT173" s="127" t="str">
        <f ca="1">IF(AR173&lt;&gt;"",IF(ISNA(VLOOKUP($N173,OFFSET(選手情報!$A$6:$BD$119,AR173,0),56,FALSE)),"",VLOOKUP($N173,OFFSET(選手情報!$A$6:$BD$119,AR173,0),56,FALSE)),"")</f>
        <v/>
      </c>
      <c r="AU173" s="127" t="str">
        <f ca="1">IF(AT173&lt;&gt;"",IF(ISNA(VLOOKUP($N173,OFFSET(選手情報!$A$6:$M$119,AT173,0),13,FALSE)),"","/"&amp;VLOOKUP($N173,OFFSET(選手情報!$A$6:$M$119,AT173,0),13,FALSE)),"")</f>
        <v/>
      </c>
      <c r="AV173" s="127" t="str">
        <f ca="1">IF(AT173&lt;&gt;"",IF(ISNA(VLOOKUP($N173,OFFSET(選手情報!$A$6:$BD$119,AT173,0),56,FALSE)),"",VLOOKUP($N173,OFFSET(選手情報!$A$6:$BD$119,AT173,0),56,FALSE)),"")</f>
        <v/>
      </c>
      <c r="AW173" s="127" t="str">
        <f ca="1">IF(AV173&lt;&gt;"",IF(ISNA(VLOOKUP($N173,OFFSET(選手情報!$A$6:$M$119,AV173,0),13,FALSE)),"","/"&amp;VLOOKUP($N173,OFFSET(選手情報!$A$6:$M$119,AV173,0),13,FALSE)),"")</f>
        <v/>
      </c>
      <c r="AX173" s="127" t="str">
        <f ca="1">IF(AV173&lt;&gt;"",IF(ISNA(VLOOKUP($N173,OFFSET(選手情報!$A$6:$BD$119,AV173,0),56,FALSE)),"",VLOOKUP($N173,OFFSET(選手情報!$A$6:$BD$119,AV173,0),56,FALSE)),"")</f>
        <v/>
      </c>
      <c r="AY173" s="127" t="str">
        <f ca="1">IF(AX173&lt;&gt;"",IF(ISNA(VLOOKUP($N173,OFFSET(選手情報!$A$6:$M$119,AX173,0),13,FALSE)),"","/"&amp;VLOOKUP($N173,OFFSET(選手情報!$A$6:$M$119,AX173,0),13,FALSE)),"")</f>
        <v/>
      </c>
      <c r="AZ173" s="127" t="str">
        <f ca="1">IF(AX173&lt;&gt;"",IF(ISNA(VLOOKUP($N173,OFFSET(選手情報!$A$6:$BD$119,AX173,0),56,FALSE)),"",VLOOKUP($N173,OFFSET(選手情報!$A$6:$BD$119,AX173,0),56,FALSE)),"")</f>
        <v/>
      </c>
      <c r="BA173" s="127" t="str">
        <f ca="1">IF(AZ173&lt;&gt;"",IF(ISNA(VLOOKUP($N173,OFFSET(選手情報!$A$6:$M$119,AZ173,0),13,FALSE)),"","/"&amp;VLOOKUP($N173,OFFSET(選手情報!$A$6:$M$119,AZ173,0),13,FALSE)),"")</f>
        <v/>
      </c>
      <c r="BB173" s="127" t="str">
        <f ca="1">IF(AZ173&lt;&gt;"",IF(ISNA(VLOOKUP($N173,OFFSET(選手情報!$A$6:$BD$119,AZ173,0),56,FALSE)),"",VLOOKUP($N173,OFFSET(選手情報!$A$6:$BD$119,AZ173,0),56,FALSE)),"")</f>
        <v/>
      </c>
      <c r="BC173" s="127" t="str">
        <f ca="1">IF(BB173&lt;&gt;"",IF(ISNA(VLOOKUP($N173,OFFSET(選手情報!$A$6:$M$119,BB173,0),13,FALSE)),"","/"&amp;VLOOKUP($N173,OFFSET(選手情報!$A$6:$M$119,BB173,0),13,FALSE)),"")</f>
        <v/>
      </c>
      <c r="BD173" s="127" t="str">
        <f ca="1">IF(BB173&lt;&gt;"",IF(ISNA(VLOOKUP($N173,OFFSET(選手情報!$A$6:$BD$119,BB173,0),56,FALSE)),"",VLOOKUP($N173,OFFSET(選手情報!$A$6:$BD$119,BB173,0),56,FALSE)),"")</f>
        <v/>
      </c>
      <c r="BE173" s="127" t="str">
        <f ca="1">IF(BD173&lt;&gt;"",IF(ISNA(VLOOKUP($N173,OFFSET(選手情報!$A$6:$M$119,BD173,0),13,FALSE)),"","/"&amp;VLOOKUP($N173,OFFSET(選手情報!$A$6:$M$119,BD173,0),13,FALSE)),"")</f>
        <v/>
      </c>
      <c r="BF173" s="127" t="str">
        <f ca="1">IF(BD173&lt;&gt;"",IF(ISNA(VLOOKUP($N173,OFFSET(選手情報!$A$6:$BD$119,BD173,0),56,FALSE)),"",VLOOKUP($N173,OFFSET(選手情報!$A$6:$BD$119,BD173,0),56,FALSE)),"")</f>
        <v/>
      </c>
      <c r="BG173" s="127" t="str">
        <f ca="1">IF(BF173&lt;&gt;"",IF(ISNA(VLOOKUP($N173,OFFSET(選手情報!$A$6:$M$119,BF173,0),13,FALSE)),"","/"&amp;VLOOKUP($N173,OFFSET(選手情報!$A$6:$M$119,BF173,0),13,FALSE)),"")</f>
        <v/>
      </c>
      <c r="BH173" s="127" t="str">
        <f ca="1">IF(BF173&lt;&gt;"",IF(ISNA(VLOOKUP($N173,OFFSET(選手情報!$A$6:$BD$119,BF173,0),56,FALSE)),"",VLOOKUP($N173,OFFSET(選手情報!$A$6:$BD$119,BF173,0),56,FALSE)),"")</f>
        <v/>
      </c>
      <c r="BI173" s="127" t="str">
        <f ca="1">IF(BH173&lt;&gt;"",IF(ISNA(VLOOKUP($N173,OFFSET(選手情報!$A$6:$M$119,BH173,0),13,FALSE)),"","/"&amp;VLOOKUP($N173,OFFSET(選手情報!$A$6:$M$119,BH173,0),13,FALSE)),"")</f>
        <v/>
      </c>
    </row>
    <row r="174" spans="1:61" s="127" customFormat="1" ht="12.6" customHeight="1">
      <c r="A174" s="128" t="str">
        <f>IF(ISNA(VLOOKUP($C$2&amp;N174,選手データ!A:H,3,FALSE)),"",IF(M174&lt;&gt;M167,VLOOKUP($C$2&amp;N174,選手データ!A:H,3,FALSE),""))</f>
        <v/>
      </c>
      <c r="B174" s="129" t="str">
        <f>IF(A174&lt;&gt;"",VLOOKUP($C$2&amp;N174,選手データ!A:H,4,FALSE),"")</f>
        <v/>
      </c>
      <c r="C174" s="129" t="str">
        <f>IF(A174&lt;&gt;"",VLOOKUP($C$2&amp;N174,選手データ!A:H,5,FALSE),"")</f>
        <v/>
      </c>
      <c r="D174" s="129" t="str">
        <f>IF(A174&lt;&gt;"",VLOOKUP($C$2&amp;N174,選手データ!A:H,6,FALSE),"")</f>
        <v/>
      </c>
      <c r="E174" s="129" t="str">
        <f>IF(A174&lt;&gt;"",VLOOKUP($C$2&amp;N174,選手データ!A:H,7,FALSE),"")</f>
        <v/>
      </c>
      <c r="F174" s="130" t="str">
        <f>IF(A174&lt;&gt;"",VLOOKUP($C$2&amp;N174,選手データ!A:H,8,FALSE),"")</f>
        <v/>
      </c>
      <c r="G174" s="130" t="str">
        <f>IF(F174&lt;&gt;"",IF(DATEDIF(F174,設定!$B$12,"Y")&lt;20,"〇",""),"")</f>
        <v/>
      </c>
      <c r="H174" s="131" t="str">
        <f t="shared" ca="1" si="19"/>
        <v/>
      </c>
      <c r="I174" s="132" t="str">
        <f t="shared" ca="1" si="20"/>
        <v/>
      </c>
      <c r="J174" s="131" t="str">
        <f t="shared" ca="1" si="21"/>
        <v/>
      </c>
      <c r="K174" s="130" t="str">
        <f>IF(A174&lt;&gt;"",IF(COUNTIF(リレーチーム情報!$B$17:$B$22,A174&amp;E174)=1,"〇",""),"")</f>
        <v/>
      </c>
      <c r="L174" s="133" t="str">
        <f>IF(A174&lt;&gt;"",IF(COUNTIF(リレーチーム情報!$B$23:$B$28,A174&amp;E174)=1,"〇",""),"")</f>
        <v/>
      </c>
      <c r="M174" s="127">
        <f>IF(学校情報!$A$4&lt;&gt;"",0,IF(S173=0,MAX($M$109:M173)+1,M173))</f>
        <v>0</v>
      </c>
      <c r="N174" s="127" t="str">
        <f>IF(M174&lt;&gt;0,VLOOKUP(M174,選手情報!BI:BJ,2,FALSE),"")</f>
        <v/>
      </c>
      <c r="O174" s="127" t="str">
        <f ca="1">IF(M174&lt;&gt;0,VLOOKUP(N174,OFFSET(選手情報!$A$6:$W$119,IF(M174&lt;&gt;M173,0,R173),0),13,FALSE),"")</f>
        <v/>
      </c>
      <c r="P174" s="127" t="str">
        <f ca="1">IF(M174&lt;&gt;0,VLOOKUP(N174,OFFSET(選手情報!$A$6:$W$119,IF(M174&lt;&gt;M173,0,R173),0),16,FALSE),"")</f>
        <v/>
      </c>
      <c r="Q174" s="127" t="str">
        <f ca="1">IF(M174&lt;&gt;0,VLOOKUP(N174,OFFSET(選手情報!$A$6:$W$119,IF(M174&lt;&gt;M173,0,R173),0),21,FALSE),"")</f>
        <v/>
      </c>
      <c r="R174" s="127">
        <f ca="1">IF(M174&lt;&gt;0,VLOOKUP(N174,OFFSET(選手情報!$A$6:$BD$119,IF(M174&lt;&gt;M173,0,R173),0),56,FALSE),0)</f>
        <v>0</v>
      </c>
      <c r="S174" s="127">
        <f ca="1">IF(M174&lt;&gt;0,IF(ISNA(R174),0,COUNTIF(OFFSET(選手情報!$A$6:$A$119,R174,0),N174)),0)</f>
        <v>0</v>
      </c>
      <c r="U174" s="127">
        <f>IF(ISNA(N174),0,IF(N174&lt;&gt;N167,1,0))</f>
        <v>0</v>
      </c>
      <c r="V174" s="127">
        <f ca="1">IF(ISNA(O174),0,1)</f>
        <v>1</v>
      </c>
      <c r="W174" s="127">
        <f ca="1">IF(ISNA(N174),0,IF(AND(N174&lt;&gt;"",ISNA(O174)),1,0))</f>
        <v>0</v>
      </c>
      <c r="X174" s="127" t="str">
        <f ca="1">Y174&amp;AA174&amp;AC174&amp;AE174&amp;AG174&amp;AI174&amp;AK174&amp;AM174&amp;AO174&amp;AQ174&amp;AS174&amp;AU174&amp;AW174&amp;AY174&amp;BA174&amp;BC174&amp;BE174&amp;BG174&amp;BI174</f>
        <v/>
      </c>
      <c r="Y174" s="127" t="str">
        <f>IF($A174&lt;&gt;"",IF(ISNA(VLOOKUP($N174,選手情報!$A$6:$M$119,13,FALSE)),"","/"&amp;VLOOKUP($N174,選手情報!$A$6:$M$119,13,FALSE)),"")</f>
        <v/>
      </c>
      <c r="Z174" s="127" t="str">
        <f ca="1">IF(Y174&lt;&gt;"",IF(ISNA(VLOOKUP($N174,OFFSET(選手情報!$A$6:$BD$119,0,0),56,FALSE)),"",VLOOKUP($N174,OFFSET(選手情報!$A$6:$BD$119,0,0),56,FALSE)),"")</f>
        <v/>
      </c>
      <c r="AA174" s="127" t="str">
        <f ca="1">IF(Z174&lt;&gt;"",IF(ISNA(VLOOKUP($N174,OFFSET(選手情報!$A$6:$M$119,Z174,0),13,FALSE)),"","/"&amp;VLOOKUP($N174,OFFSET(選手情報!$A$6:$M$119,Z174,0),13,FALSE)),"")</f>
        <v/>
      </c>
      <c r="AB174" s="127" t="str">
        <f ca="1">IF(Z174&lt;&gt;"",IF(ISNA(VLOOKUP($N174,OFFSET(選手情報!$A$6:$BD$119,Z174,0),56,FALSE)),"",VLOOKUP($N174,OFFSET(選手情報!$A$6:$BD$119,Z174,0),56,FALSE)),"")</f>
        <v/>
      </c>
      <c r="AC174" s="127" t="str">
        <f ca="1">IF(AB174&lt;&gt;"",IF(ISNA(VLOOKUP($N174,OFFSET(選手情報!$A$6:$M$119,AB174,0),13,FALSE)),"","/"&amp;VLOOKUP($N174,OFFSET(選手情報!$A$6:$M$119,AB174,0),13,FALSE)),"")</f>
        <v/>
      </c>
      <c r="AD174" s="127" t="str">
        <f ca="1">IF(AB174&lt;&gt;"",IF(ISNA(VLOOKUP($N174,OFFSET(選手情報!$A$6:$BD$119,AB174,0),56,FALSE)),"",VLOOKUP($N174,OFFSET(選手情報!$A$6:$BD$119,AB174,0),56,FALSE)),"")</f>
        <v/>
      </c>
      <c r="AE174" s="127" t="str">
        <f ca="1">IF(AD174&lt;&gt;"",IF(ISNA(VLOOKUP($N174,OFFSET(選手情報!$A$6:$M$119,AD174,0),13,FALSE)),"","/"&amp;VLOOKUP($N174,OFFSET(選手情報!$A$6:$M$119,AD174,0),13,FALSE)),"")</f>
        <v/>
      </c>
      <c r="AF174" s="127" t="str">
        <f ca="1">IF(AD174&lt;&gt;"",IF(ISNA(VLOOKUP($N174,OFFSET(選手情報!$A$6:$BD$119,AD174,0),56,FALSE)),"",VLOOKUP($N174,OFFSET(選手情報!$A$6:$BD$119,AD174,0),56,FALSE)),"")</f>
        <v/>
      </c>
      <c r="AG174" s="127" t="str">
        <f ca="1">IF(AF174&lt;&gt;"",IF(ISNA(VLOOKUP($N174,OFFSET(選手情報!$A$6:$M$119,AF174,0),13,FALSE)),"","/"&amp;VLOOKUP($N174,OFFSET(選手情報!$A$6:$M$119,AF174,0),13,FALSE)),"")</f>
        <v/>
      </c>
      <c r="AH174" s="127" t="str">
        <f ca="1">IF(AF174&lt;&gt;"",IF(ISNA(VLOOKUP($N174,OFFSET(選手情報!$A$6:$BD$119,AF174,0),56,FALSE)),"",VLOOKUP($N174,OFFSET(選手情報!$A$6:$BD$119,AF174,0),56,FALSE)),"")</f>
        <v/>
      </c>
      <c r="AI174" s="127" t="str">
        <f ca="1">IF(AH174&lt;&gt;"",IF(ISNA(VLOOKUP($N174,OFFSET(選手情報!$A$6:$M$119,AH174,0),13,FALSE)),"","/"&amp;VLOOKUP($N174,OFFSET(選手情報!$A$6:$M$119,AH174,0),13,FALSE)),"")</f>
        <v/>
      </c>
      <c r="AJ174" s="127" t="str">
        <f ca="1">IF(AH174&lt;&gt;"",IF(ISNA(VLOOKUP($N174,OFFSET(選手情報!$A$6:$BD$119,AH174,0),56,FALSE)),"",VLOOKUP($N174,OFFSET(選手情報!$A$6:$BD$119,AH174,0),56,FALSE)),"")</f>
        <v/>
      </c>
      <c r="AK174" s="127" t="str">
        <f ca="1">IF(AJ174&lt;&gt;"",IF(ISNA(VLOOKUP($N174,OFFSET(選手情報!$A$6:$M$119,AJ174,0),13,FALSE)),"","/"&amp;VLOOKUP($N174,OFFSET(選手情報!$A$6:$M$119,AJ174,0),13,FALSE)),"")</f>
        <v/>
      </c>
      <c r="AL174" s="127" t="str">
        <f ca="1">IF(AJ174&lt;&gt;"",IF(ISNA(VLOOKUP($N174,OFFSET(選手情報!$A$6:$BD$119,AJ174,0),56,FALSE)),"",VLOOKUP($N174,OFFSET(選手情報!$A$6:$BD$119,AJ174,0),56,FALSE)),"")</f>
        <v/>
      </c>
      <c r="AM174" s="127" t="str">
        <f ca="1">IF(AL174&lt;&gt;"",IF(ISNA(VLOOKUP($N174,OFFSET(選手情報!$A$6:$M$119,AL174,0),13,FALSE)),"","/"&amp;VLOOKUP($N174,OFFSET(選手情報!$A$6:$M$119,AL174,0),13,FALSE)),"")</f>
        <v/>
      </c>
      <c r="AN174" s="127" t="str">
        <f ca="1">IF(AL174&lt;&gt;"",IF(ISNA(VLOOKUP($N174,OFFSET(選手情報!$A$6:$BD$119,AL174,0),56,FALSE)),"",VLOOKUP($N174,OFFSET(選手情報!$A$6:$BD$119,AL174,0),56,FALSE)),"")</f>
        <v/>
      </c>
      <c r="AO174" s="127" t="str">
        <f ca="1">IF(AN174&lt;&gt;"",IF(ISNA(VLOOKUP($N174,OFFSET(選手情報!$A$6:$M$119,AN174,0),13,FALSE)),"","/"&amp;VLOOKUP($N174,OFFSET(選手情報!$A$6:$M$119,AN174,0),13,FALSE)),"")</f>
        <v/>
      </c>
      <c r="AP174" s="127" t="str">
        <f ca="1">IF(AN174&lt;&gt;"",IF(ISNA(VLOOKUP($N174,OFFSET(選手情報!$A$6:$BD$119,AN174,0),56,FALSE)),"",VLOOKUP($N174,OFFSET(選手情報!$A$6:$BD$119,AN174,0),56,FALSE)),"")</f>
        <v/>
      </c>
      <c r="AQ174" s="127" t="str">
        <f ca="1">IF(AP174&lt;&gt;"",IF(ISNA(VLOOKUP($N174,OFFSET(選手情報!$A$6:$M$119,AP174,0),13,FALSE)),"","/"&amp;VLOOKUP($N174,OFFSET(選手情報!$A$6:$M$119,AP174,0),13,FALSE)),"")</f>
        <v/>
      </c>
      <c r="AR174" s="127" t="str">
        <f ca="1">IF(AP174&lt;&gt;"",IF(ISNA(VLOOKUP($N174,OFFSET(選手情報!$A$6:$BD$119,AP174,0),56,FALSE)),"",VLOOKUP($N174,OFFSET(選手情報!$A$6:$BD$119,AP174,0),56,FALSE)),"")</f>
        <v/>
      </c>
      <c r="AS174" s="127" t="str">
        <f ca="1">IF(AR174&lt;&gt;"",IF(ISNA(VLOOKUP($N174,OFFSET(選手情報!$A$6:$M$119,AR174,0),13,FALSE)),"","/"&amp;VLOOKUP($N174,OFFSET(選手情報!$A$6:$M$119,AR174,0),13,FALSE)),"")</f>
        <v/>
      </c>
      <c r="AT174" s="127" t="str">
        <f ca="1">IF(AR174&lt;&gt;"",IF(ISNA(VLOOKUP($N174,OFFSET(選手情報!$A$6:$BD$119,AR174,0),56,FALSE)),"",VLOOKUP($N174,OFFSET(選手情報!$A$6:$BD$119,AR174,0),56,FALSE)),"")</f>
        <v/>
      </c>
      <c r="AU174" s="127" t="str">
        <f ca="1">IF(AT174&lt;&gt;"",IF(ISNA(VLOOKUP($N174,OFFSET(選手情報!$A$6:$M$119,AT174,0),13,FALSE)),"","/"&amp;VLOOKUP($N174,OFFSET(選手情報!$A$6:$M$119,AT174,0),13,FALSE)),"")</f>
        <v/>
      </c>
      <c r="AV174" s="127" t="str">
        <f ca="1">IF(AT174&lt;&gt;"",IF(ISNA(VLOOKUP($N174,OFFSET(選手情報!$A$6:$BD$119,AT174,0),56,FALSE)),"",VLOOKUP($N174,OFFSET(選手情報!$A$6:$BD$119,AT174,0),56,FALSE)),"")</f>
        <v/>
      </c>
      <c r="AW174" s="127" t="str">
        <f ca="1">IF(AV174&lt;&gt;"",IF(ISNA(VLOOKUP($N174,OFFSET(選手情報!$A$6:$M$119,AV174,0),13,FALSE)),"","/"&amp;VLOOKUP($N174,OFFSET(選手情報!$A$6:$M$119,AV174,0),13,FALSE)),"")</f>
        <v/>
      </c>
      <c r="AX174" s="127" t="str">
        <f ca="1">IF(AV174&lt;&gt;"",IF(ISNA(VLOOKUP($N174,OFFSET(選手情報!$A$6:$BD$119,AV174,0),56,FALSE)),"",VLOOKUP($N174,OFFSET(選手情報!$A$6:$BD$119,AV174,0),56,FALSE)),"")</f>
        <v/>
      </c>
      <c r="AY174" s="127" t="str">
        <f ca="1">IF(AX174&lt;&gt;"",IF(ISNA(VLOOKUP($N174,OFFSET(選手情報!$A$6:$M$119,AX174,0),13,FALSE)),"","/"&amp;VLOOKUP($N174,OFFSET(選手情報!$A$6:$M$119,AX174,0),13,FALSE)),"")</f>
        <v/>
      </c>
      <c r="AZ174" s="127" t="str">
        <f ca="1">IF(AX174&lt;&gt;"",IF(ISNA(VLOOKUP($N174,OFFSET(選手情報!$A$6:$BD$119,AX174,0),56,FALSE)),"",VLOOKUP($N174,OFFSET(選手情報!$A$6:$BD$119,AX174,0),56,FALSE)),"")</f>
        <v/>
      </c>
      <c r="BA174" s="127" t="str">
        <f ca="1">IF(AZ174&lt;&gt;"",IF(ISNA(VLOOKUP($N174,OFFSET(選手情報!$A$6:$M$119,AZ174,0),13,FALSE)),"","/"&amp;VLOOKUP($N174,OFFSET(選手情報!$A$6:$M$119,AZ174,0),13,FALSE)),"")</f>
        <v/>
      </c>
      <c r="BB174" s="127" t="str">
        <f ca="1">IF(AZ174&lt;&gt;"",IF(ISNA(VLOOKUP($N174,OFFSET(選手情報!$A$6:$BD$119,AZ174,0),56,FALSE)),"",VLOOKUP($N174,OFFSET(選手情報!$A$6:$BD$119,AZ174,0),56,FALSE)),"")</f>
        <v/>
      </c>
      <c r="BC174" s="127" t="str">
        <f ca="1">IF(BB174&lt;&gt;"",IF(ISNA(VLOOKUP($N174,OFFSET(選手情報!$A$6:$M$119,BB174,0),13,FALSE)),"","/"&amp;VLOOKUP($N174,OFFSET(選手情報!$A$6:$M$119,BB174,0),13,FALSE)),"")</f>
        <v/>
      </c>
      <c r="BD174" s="127" t="str">
        <f ca="1">IF(BB174&lt;&gt;"",IF(ISNA(VLOOKUP($N174,OFFSET(選手情報!$A$6:$BD$119,BB174,0),56,FALSE)),"",VLOOKUP($N174,OFFSET(選手情報!$A$6:$BD$119,BB174,0),56,FALSE)),"")</f>
        <v/>
      </c>
      <c r="BE174" s="127" t="str">
        <f ca="1">IF(BD174&lt;&gt;"",IF(ISNA(VLOOKUP($N174,OFFSET(選手情報!$A$6:$M$119,BD174,0),13,FALSE)),"","/"&amp;VLOOKUP($N174,OFFSET(選手情報!$A$6:$M$119,BD174,0),13,FALSE)),"")</f>
        <v/>
      </c>
      <c r="BF174" s="127" t="str">
        <f ca="1">IF(BD174&lt;&gt;"",IF(ISNA(VLOOKUP($N174,OFFSET(選手情報!$A$6:$BD$119,BD174,0),56,FALSE)),"",VLOOKUP($N174,OFFSET(選手情報!$A$6:$BD$119,BD174,0),56,FALSE)),"")</f>
        <v/>
      </c>
      <c r="BG174" s="127" t="str">
        <f ca="1">IF(BF174&lt;&gt;"",IF(ISNA(VLOOKUP($N174,OFFSET(選手情報!$A$6:$M$119,BF174,0),13,FALSE)),"","/"&amp;VLOOKUP($N174,OFFSET(選手情報!$A$6:$M$119,BF174,0),13,FALSE)),"")</f>
        <v/>
      </c>
      <c r="BH174" s="127" t="str">
        <f ca="1">IF(BF174&lt;&gt;"",IF(ISNA(VLOOKUP($N174,OFFSET(選手情報!$A$6:$BD$119,BF174,0),56,FALSE)),"",VLOOKUP($N174,OFFSET(選手情報!$A$6:$BD$119,BF174,0),56,FALSE)),"")</f>
        <v/>
      </c>
      <c r="BI174" s="127" t="str">
        <f ca="1">IF(BH174&lt;&gt;"",IF(ISNA(VLOOKUP($N174,OFFSET(選手情報!$A$6:$M$119,BH174,0),13,FALSE)),"","/"&amp;VLOOKUP($N174,OFFSET(選手情報!$A$6:$M$119,BH174,0),13,FALSE)),"")</f>
        <v/>
      </c>
    </row>
    <row r="175" spans="1:61" s="127" customFormat="1" ht="12.6" customHeight="1">
      <c r="A175" s="128" t="str">
        <f>IF(ISNA(VLOOKUP($C$2&amp;N175,選手データ!A:H,3,FALSE)),"",IF(M175&lt;&gt;M174,VLOOKUP($C$2&amp;N175,選手データ!A:H,3,FALSE),""))</f>
        <v/>
      </c>
      <c r="B175" s="129" t="str">
        <f>IF(A175&lt;&gt;"",VLOOKUP($C$2&amp;N175,選手データ!A:H,4,FALSE),"")</f>
        <v/>
      </c>
      <c r="C175" s="129" t="str">
        <f>IF(A175&lt;&gt;"",VLOOKUP($C$2&amp;N175,選手データ!A:H,5,FALSE),"")</f>
        <v/>
      </c>
      <c r="D175" s="129" t="str">
        <f>IF(A175&lt;&gt;"",VLOOKUP($C$2&amp;N175,選手データ!A:H,6,FALSE),"")</f>
        <v/>
      </c>
      <c r="E175" s="129" t="str">
        <f>IF(A175&lt;&gt;"",VLOOKUP($C$2&amp;N175,選手データ!A:H,7,FALSE),"")</f>
        <v/>
      </c>
      <c r="F175" s="130" t="str">
        <f>IF(A175&lt;&gt;"",VLOOKUP($C$2&amp;N175,選手データ!A:H,8,FALSE),"")</f>
        <v/>
      </c>
      <c r="G175" s="130" t="str">
        <f>IF(F175&lt;&gt;"",IF(DATEDIF(F175,設定!$B$12,"Y")&lt;20,"〇",""),"")</f>
        <v/>
      </c>
      <c r="H175" s="131" t="str">
        <f t="shared" ca="1" si="19"/>
        <v/>
      </c>
      <c r="I175" s="132" t="str">
        <f t="shared" ca="1" si="20"/>
        <v/>
      </c>
      <c r="J175" s="131" t="str">
        <f t="shared" ca="1" si="21"/>
        <v/>
      </c>
      <c r="K175" s="130" t="str">
        <f>IF(A175&lt;&gt;"",IF(COUNTIF(リレーチーム情報!$B$17:$B$22,A175&amp;E175)=1,"〇",""),"")</f>
        <v/>
      </c>
      <c r="L175" s="133" t="str">
        <f>IF(A175&lt;&gt;"",IF(COUNTIF(リレーチーム情報!$B$23:$B$28,A175&amp;E175)=1,"〇",""),"")</f>
        <v/>
      </c>
      <c r="M175" s="127">
        <f>IF(学校情報!$A$4&lt;&gt;"",0,IF(S174=0,MAX($M$109:M174)+1,M174))</f>
        <v>0</v>
      </c>
      <c r="N175" s="127" t="str">
        <f>IF(M175&lt;&gt;0,VLOOKUP(M175,選手情報!BI:BJ,2,FALSE),"")</f>
        <v/>
      </c>
      <c r="O175" s="127" t="str">
        <f ca="1">IF(M175&lt;&gt;0,VLOOKUP(N175,OFFSET(選手情報!$A$6:$W$119,IF(M175&lt;&gt;M174,0,R174),0),13,FALSE),"")</f>
        <v/>
      </c>
      <c r="P175" s="127" t="str">
        <f ca="1">IF(M175&lt;&gt;0,VLOOKUP(N175,OFFSET(選手情報!$A$6:$W$119,IF(M175&lt;&gt;M174,0,R174),0),16,FALSE),"")</f>
        <v/>
      </c>
      <c r="Q175" s="127" t="str">
        <f ca="1">IF(M175&lt;&gt;0,VLOOKUP(N175,OFFSET(選手情報!$A$6:$W$119,IF(M175&lt;&gt;M174,0,R174),0),21,FALSE),"")</f>
        <v/>
      </c>
      <c r="R175" s="127">
        <f ca="1">IF(M175&lt;&gt;0,VLOOKUP(N175,OFFSET(選手情報!$A$6:$BD$119,IF(M175&lt;&gt;M174,0,R174),0),56,FALSE),0)</f>
        <v>0</v>
      </c>
      <c r="S175" s="127">
        <f ca="1">IF(M175&lt;&gt;0,IF(ISNA(R175),0,COUNTIF(OFFSET(選手情報!$A$6:$A$119,R175,0),N175)),0)</f>
        <v>0</v>
      </c>
      <c r="U175" s="127">
        <f t="shared" si="16"/>
        <v>0</v>
      </c>
      <c r="V175" s="127">
        <f ca="1">IF(ISNA(O175),0,1)</f>
        <v>1</v>
      </c>
      <c r="W175" s="127">
        <f ca="1">IF(ISNA(N175),0,IF(AND(N175&lt;&gt;"",ISNA(O175)),1,0))</f>
        <v>0</v>
      </c>
      <c r="X175" s="127" t="str">
        <f ca="1">Y175&amp;AA175&amp;AC175&amp;AE175&amp;AG175&amp;AI175&amp;AK175&amp;AM175&amp;AO175&amp;AQ175&amp;AS175&amp;AU175&amp;AW175&amp;AY175&amp;BA175&amp;BC175&amp;BE175&amp;BG175&amp;BI175</f>
        <v/>
      </c>
      <c r="Y175" s="127" t="str">
        <f>IF($A175&lt;&gt;"",IF(ISNA(VLOOKUP($N175,選手情報!$A$6:$M$119,13,FALSE)),"","/"&amp;VLOOKUP($N175,選手情報!$A$6:$M$119,13,FALSE)),"")</f>
        <v/>
      </c>
      <c r="Z175" s="127" t="str">
        <f ca="1">IF(Y175&lt;&gt;"",IF(ISNA(VLOOKUP($N175,OFFSET(選手情報!$A$6:$BD$119,0,0),56,FALSE)),"",VLOOKUP($N175,OFFSET(選手情報!$A$6:$BD$119,0,0),56,FALSE)),"")</f>
        <v/>
      </c>
      <c r="AA175" s="127" t="str">
        <f ca="1">IF(Z175&lt;&gt;"",IF(ISNA(VLOOKUP($N175,OFFSET(選手情報!$A$6:$M$119,Z175,0),13,FALSE)),"","/"&amp;VLOOKUP($N175,OFFSET(選手情報!$A$6:$M$119,Z175,0),13,FALSE)),"")</f>
        <v/>
      </c>
      <c r="AB175" s="127" t="str">
        <f ca="1">IF(Z175&lt;&gt;"",IF(ISNA(VLOOKUP($N175,OFFSET(選手情報!$A$6:$BD$119,Z175,0),56,FALSE)),"",VLOOKUP($N175,OFFSET(選手情報!$A$6:$BD$119,Z175,0),56,FALSE)),"")</f>
        <v/>
      </c>
      <c r="AC175" s="127" t="str">
        <f ca="1">IF(AB175&lt;&gt;"",IF(ISNA(VLOOKUP($N175,OFFSET(選手情報!$A$6:$M$119,AB175,0),13,FALSE)),"","/"&amp;VLOOKUP($N175,OFFSET(選手情報!$A$6:$M$119,AB175,0),13,FALSE)),"")</f>
        <v/>
      </c>
      <c r="AD175" s="127" t="str">
        <f ca="1">IF(AB175&lt;&gt;"",IF(ISNA(VLOOKUP($N175,OFFSET(選手情報!$A$6:$BD$119,AB175,0),56,FALSE)),"",VLOOKUP($N175,OFFSET(選手情報!$A$6:$BD$119,AB175,0),56,FALSE)),"")</f>
        <v/>
      </c>
      <c r="AE175" s="127" t="str">
        <f ca="1">IF(AD175&lt;&gt;"",IF(ISNA(VLOOKUP($N175,OFFSET(選手情報!$A$6:$M$119,AD175,0),13,FALSE)),"","/"&amp;VLOOKUP($N175,OFFSET(選手情報!$A$6:$M$119,AD175,0),13,FALSE)),"")</f>
        <v/>
      </c>
      <c r="AF175" s="127" t="str">
        <f ca="1">IF(AD175&lt;&gt;"",IF(ISNA(VLOOKUP($N175,OFFSET(選手情報!$A$6:$BD$119,AD175,0),56,FALSE)),"",VLOOKUP($N175,OFFSET(選手情報!$A$6:$BD$119,AD175,0),56,FALSE)),"")</f>
        <v/>
      </c>
      <c r="AG175" s="127" t="str">
        <f ca="1">IF(AF175&lt;&gt;"",IF(ISNA(VLOOKUP($N175,OFFSET(選手情報!$A$6:$M$119,AF175,0),13,FALSE)),"","/"&amp;VLOOKUP($N175,OFFSET(選手情報!$A$6:$M$119,AF175,0),13,FALSE)),"")</f>
        <v/>
      </c>
      <c r="AH175" s="127" t="str">
        <f ca="1">IF(AF175&lt;&gt;"",IF(ISNA(VLOOKUP($N175,OFFSET(選手情報!$A$6:$BD$119,AF175,0),56,FALSE)),"",VLOOKUP($N175,OFFSET(選手情報!$A$6:$BD$119,AF175,0),56,FALSE)),"")</f>
        <v/>
      </c>
      <c r="AI175" s="127" t="str">
        <f ca="1">IF(AH175&lt;&gt;"",IF(ISNA(VLOOKUP($N175,OFFSET(選手情報!$A$6:$M$119,AH175,0),13,FALSE)),"","/"&amp;VLOOKUP($N175,OFFSET(選手情報!$A$6:$M$119,AH175,0),13,FALSE)),"")</f>
        <v/>
      </c>
      <c r="AJ175" s="127" t="str">
        <f ca="1">IF(AH175&lt;&gt;"",IF(ISNA(VLOOKUP($N175,OFFSET(選手情報!$A$6:$BD$119,AH175,0),56,FALSE)),"",VLOOKUP($N175,OFFSET(選手情報!$A$6:$BD$119,AH175,0),56,FALSE)),"")</f>
        <v/>
      </c>
      <c r="AK175" s="127" t="str">
        <f ca="1">IF(AJ175&lt;&gt;"",IF(ISNA(VLOOKUP($N175,OFFSET(選手情報!$A$6:$M$119,AJ175,0),13,FALSE)),"","/"&amp;VLOOKUP($N175,OFFSET(選手情報!$A$6:$M$119,AJ175,0),13,FALSE)),"")</f>
        <v/>
      </c>
      <c r="AL175" s="127" t="str">
        <f ca="1">IF(AJ175&lt;&gt;"",IF(ISNA(VLOOKUP($N175,OFFSET(選手情報!$A$6:$BD$119,AJ175,0),56,FALSE)),"",VLOOKUP($N175,OFFSET(選手情報!$A$6:$BD$119,AJ175,0),56,FALSE)),"")</f>
        <v/>
      </c>
      <c r="AM175" s="127" t="str">
        <f ca="1">IF(AL175&lt;&gt;"",IF(ISNA(VLOOKUP($N175,OFFSET(選手情報!$A$6:$M$119,AL175,0),13,FALSE)),"","/"&amp;VLOOKUP($N175,OFFSET(選手情報!$A$6:$M$119,AL175,0),13,FALSE)),"")</f>
        <v/>
      </c>
      <c r="AN175" s="127" t="str">
        <f ca="1">IF(AL175&lt;&gt;"",IF(ISNA(VLOOKUP($N175,OFFSET(選手情報!$A$6:$BD$119,AL175,0),56,FALSE)),"",VLOOKUP($N175,OFFSET(選手情報!$A$6:$BD$119,AL175,0),56,FALSE)),"")</f>
        <v/>
      </c>
      <c r="AO175" s="127" t="str">
        <f ca="1">IF(AN175&lt;&gt;"",IF(ISNA(VLOOKUP($N175,OFFSET(選手情報!$A$6:$M$119,AN175,0),13,FALSE)),"","/"&amp;VLOOKUP($N175,OFFSET(選手情報!$A$6:$M$119,AN175,0),13,FALSE)),"")</f>
        <v/>
      </c>
      <c r="AP175" s="127" t="str">
        <f ca="1">IF(AN175&lt;&gt;"",IF(ISNA(VLOOKUP($N175,OFFSET(選手情報!$A$6:$BD$119,AN175,0),56,FALSE)),"",VLOOKUP($N175,OFFSET(選手情報!$A$6:$BD$119,AN175,0),56,FALSE)),"")</f>
        <v/>
      </c>
      <c r="AQ175" s="127" t="str">
        <f ca="1">IF(AP175&lt;&gt;"",IF(ISNA(VLOOKUP($N175,OFFSET(選手情報!$A$6:$M$119,AP175,0),13,FALSE)),"","/"&amp;VLOOKUP($N175,OFFSET(選手情報!$A$6:$M$119,AP175,0),13,FALSE)),"")</f>
        <v/>
      </c>
      <c r="AR175" s="127" t="str">
        <f ca="1">IF(AP175&lt;&gt;"",IF(ISNA(VLOOKUP($N175,OFFSET(選手情報!$A$6:$BD$119,AP175,0),56,FALSE)),"",VLOOKUP($N175,OFFSET(選手情報!$A$6:$BD$119,AP175,0),56,FALSE)),"")</f>
        <v/>
      </c>
      <c r="AS175" s="127" t="str">
        <f ca="1">IF(AR175&lt;&gt;"",IF(ISNA(VLOOKUP($N175,OFFSET(選手情報!$A$6:$M$119,AR175,0),13,FALSE)),"","/"&amp;VLOOKUP($N175,OFFSET(選手情報!$A$6:$M$119,AR175,0),13,FALSE)),"")</f>
        <v/>
      </c>
      <c r="AT175" s="127" t="str">
        <f ca="1">IF(AR175&lt;&gt;"",IF(ISNA(VLOOKUP($N175,OFFSET(選手情報!$A$6:$BD$119,AR175,0),56,FALSE)),"",VLOOKUP($N175,OFFSET(選手情報!$A$6:$BD$119,AR175,0),56,FALSE)),"")</f>
        <v/>
      </c>
      <c r="AU175" s="127" t="str">
        <f ca="1">IF(AT175&lt;&gt;"",IF(ISNA(VLOOKUP($N175,OFFSET(選手情報!$A$6:$M$119,AT175,0),13,FALSE)),"","/"&amp;VLOOKUP($N175,OFFSET(選手情報!$A$6:$M$119,AT175,0),13,FALSE)),"")</f>
        <v/>
      </c>
      <c r="AV175" s="127" t="str">
        <f ca="1">IF(AT175&lt;&gt;"",IF(ISNA(VLOOKUP($N175,OFFSET(選手情報!$A$6:$BD$119,AT175,0),56,FALSE)),"",VLOOKUP($N175,OFFSET(選手情報!$A$6:$BD$119,AT175,0),56,FALSE)),"")</f>
        <v/>
      </c>
      <c r="AW175" s="127" t="str">
        <f ca="1">IF(AV175&lt;&gt;"",IF(ISNA(VLOOKUP($N175,OFFSET(選手情報!$A$6:$M$119,AV175,0),13,FALSE)),"","/"&amp;VLOOKUP($N175,OFFSET(選手情報!$A$6:$M$119,AV175,0),13,FALSE)),"")</f>
        <v/>
      </c>
      <c r="AX175" s="127" t="str">
        <f ca="1">IF(AV175&lt;&gt;"",IF(ISNA(VLOOKUP($N175,OFFSET(選手情報!$A$6:$BD$119,AV175,0),56,FALSE)),"",VLOOKUP($N175,OFFSET(選手情報!$A$6:$BD$119,AV175,0),56,FALSE)),"")</f>
        <v/>
      </c>
      <c r="AY175" s="127" t="str">
        <f ca="1">IF(AX175&lt;&gt;"",IF(ISNA(VLOOKUP($N175,OFFSET(選手情報!$A$6:$M$119,AX175,0),13,FALSE)),"","/"&amp;VLOOKUP($N175,OFFSET(選手情報!$A$6:$M$119,AX175,0),13,FALSE)),"")</f>
        <v/>
      </c>
      <c r="AZ175" s="127" t="str">
        <f ca="1">IF(AX175&lt;&gt;"",IF(ISNA(VLOOKUP($N175,OFFSET(選手情報!$A$6:$BD$119,AX175,0),56,FALSE)),"",VLOOKUP($N175,OFFSET(選手情報!$A$6:$BD$119,AX175,0),56,FALSE)),"")</f>
        <v/>
      </c>
      <c r="BA175" s="127" t="str">
        <f ca="1">IF(AZ175&lt;&gt;"",IF(ISNA(VLOOKUP($N175,OFFSET(選手情報!$A$6:$M$119,AZ175,0),13,FALSE)),"","/"&amp;VLOOKUP($N175,OFFSET(選手情報!$A$6:$M$119,AZ175,0),13,FALSE)),"")</f>
        <v/>
      </c>
      <c r="BB175" s="127" t="str">
        <f ca="1">IF(AZ175&lt;&gt;"",IF(ISNA(VLOOKUP($N175,OFFSET(選手情報!$A$6:$BD$119,AZ175,0),56,FALSE)),"",VLOOKUP($N175,OFFSET(選手情報!$A$6:$BD$119,AZ175,0),56,FALSE)),"")</f>
        <v/>
      </c>
      <c r="BC175" s="127" t="str">
        <f ca="1">IF(BB175&lt;&gt;"",IF(ISNA(VLOOKUP($N175,OFFSET(選手情報!$A$6:$M$119,BB175,0),13,FALSE)),"","/"&amp;VLOOKUP($N175,OFFSET(選手情報!$A$6:$M$119,BB175,0),13,FALSE)),"")</f>
        <v/>
      </c>
      <c r="BD175" s="127" t="str">
        <f ca="1">IF(BB175&lt;&gt;"",IF(ISNA(VLOOKUP($N175,OFFSET(選手情報!$A$6:$BD$119,BB175,0),56,FALSE)),"",VLOOKUP($N175,OFFSET(選手情報!$A$6:$BD$119,BB175,0),56,FALSE)),"")</f>
        <v/>
      </c>
      <c r="BE175" s="127" t="str">
        <f ca="1">IF(BD175&lt;&gt;"",IF(ISNA(VLOOKUP($N175,OFFSET(選手情報!$A$6:$M$119,BD175,0),13,FALSE)),"","/"&amp;VLOOKUP($N175,OFFSET(選手情報!$A$6:$M$119,BD175,0),13,FALSE)),"")</f>
        <v/>
      </c>
      <c r="BF175" s="127" t="str">
        <f ca="1">IF(BD175&lt;&gt;"",IF(ISNA(VLOOKUP($N175,OFFSET(選手情報!$A$6:$BD$119,BD175,0),56,FALSE)),"",VLOOKUP($N175,OFFSET(選手情報!$A$6:$BD$119,BD175,0),56,FALSE)),"")</f>
        <v/>
      </c>
      <c r="BG175" s="127" t="str">
        <f ca="1">IF(BF175&lt;&gt;"",IF(ISNA(VLOOKUP($N175,OFFSET(選手情報!$A$6:$M$119,BF175,0),13,FALSE)),"","/"&amp;VLOOKUP($N175,OFFSET(選手情報!$A$6:$M$119,BF175,0),13,FALSE)),"")</f>
        <v/>
      </c>
      <c r="BH175" s="127" t="str">
        <f ca="1">IF(BF175&lt;&gt;"",IF(ISNA(VLOOKUP($N175,OFFSET(選手情報!$A$6:$BD$119,BF175,0),56,FALSE)),"",VLOOKUP($N175,OFFSET(選手情報!$A$6:$BD$119,BF175,0),56,FALSE)),"")</f>
        <v/>
      </c>
      <c r="BI175" s="127" t="str">
        <f ca="1">IF(BH175&lt;&gt;"",IF(ISNA(VLOOKUP($N175,OFFSET(選手情報!$A$6:$M$119,BH175,0),13,FALSE)),"","/"&amp;VLOOKUP($N175,OFFSET(選手情報!$A$6:$M$119,BH175,0),13,FALSE)),"")</f>
        <v/>
      </c>
    </row>
    <row r="176" spans="1:61" s="127" customFormat="1" ht="12.6" customHeight="1">
      <c r="A176" s="128" t="str">
        <f>IF(ISNA(VLOOKUP($C$2&amp;N176,選手データ!A:H,3,FALSE)),"",IF(M176&lt;&gt;M175,VLOOKUP($C$2&amp;N176,選手データ!A:H,3,FALSE),""))</f>
        <v/>
      </c>
      <c r="B176" s="129" t="str">
        <f>IF(A176&lt;&gt;"",VLOOKUP($C$2&amp;N176,選手データ!A:H,4,FALSE),"")</f>
        <v/>
      </c>
      <c r="C176" s="129" t="str">
        <f>IF(A176&lt;&gt;"",VLOOKUP($C$2&amp;N176,選手データ!A:H,5,FALSE),"")</f>
        <v/>
      </c>
      <c r="D176" s="129" t="str">
        <f>IF(A176&lt;&gt;"",VLOOKUP($C$2&amp;N176,選手データ!A:H,6,FALSE),"")</f>
        <v/>
      </c>
      <c r="E176" s="129" t="str">
        <f>IF(A176&lt;&gt;"",VLOOKUP($C$2&amp;N176,選手データ!A:H,7,FALSE),"")</f>
        <v/>
      </c>
      <c r="F176" s="130" t="str">
        <f>IF(A176&lt;&gt;"",VLOOKUP($C$2&amp;N176,選手データ!A:H,8,FALSE),"")</f>
        <v/>
      </c>
      <c r="G176" s="130" t="str">
        <f>IF(F176&lt;&gt;"",IF(DATEDIF(F176,設定!$B$12,"Y")&lt;20,"〇",""),"")</f>
        <v/>
      </c>
      <c r="H176" s="131" t="str">
        <f t="shared" ca="1" si="19"/>
        <v/>
      </c>
      <c r="I176" s="132" t="str">
        <f t="shared" ca="1" si="20"/>
        <v/>
      </c>
      <c r="J176" s="131" t="str">
        <f t="shared" ca="1" si="21"/>
        <v/>
      </c>
      <c r="K176" s="130" t="str">
        <f>IF(A176&lt;&gt;"",IF(COUNTIF(リレーチーム情報!$B$17:$B$22,A176&amp;E176)=1,"〇",""),"")</f>
        <v/>
      </c>
      <c r="L176" s="133" t="str">
        <f>IF(A176&lt;&gt;"",IF(COUNTIF(リレーチーム情報!$B$23:$B$28,A176&amp;E176)=1,"〇",""),"")</f>
        <v/>
      </c>
      <c r="M176" s="127">
        <f>IF(学校情報!$A$4&lt;&gt;"",0,IF(S175=0,MAX($M$109:M175)+1,M175))</f>
        <v>0</v>
      </c>
      <c r="N176" s="127" t="str">
        <f>IF(M176&lt;&gt;0,VLOOKUP(M176,選手情報!BI:BJ,2,FALSE),"")</f>
        <v/>
      </c>
      <c r="O176" s="127" t="str">
        <f ca="1">IF(M176&lt;&gt;0,VLOOKUP(N176,OFFSET(選手情報!$A$6:$W$119,IF(M176&lt;&gt;M175,0,R175),0),13,FALSE),"")</f>
        <v/>
      </c>
      <c r="P176" s="127" t="str">
        <f ca="1">IF(M176&lt;&gt;0,VLOOKUP(N176,OFFSET(選手情報!$A$6:$W$119,IF(M176&lt;&gt;M175,0,R175),0),16,FALSE),"")</f>
        <v/>
      </c>
      <c r="Q176" s="127" t="str">
        <f ca="1">IF(M176&lt;&gt;0,VLOOKUP(N176,OFFSET(選手情報!$A$6:$W$119,IF(M176&lt;&gt;M175,0,R175),0),21,FALSE),"")</f>
        <v/>
      </c>
      <c r="R176" s="127">
        <f ca="1">IF(M176&lt;&gt;0,VLOOKUP(N176,OFFSET(選手情報!$A$6:$BD$119,IF(M176&lt;&gt;M175,0,R175),0),56,FALSE),0)</f>
        <v>0</v>
      </c>
      <c r="S176" s="127">
        <f ca="1">IF(M176&lt;&gt;0,IF(ISNA(R176),0,COUNTIF(OFFSET(選手情報!$A$6:$A$119,R176,0),N176)),0)</f>
        <v>0</v>
      </c>
      <c r="U176" s="127">
        <f>IF(ISNA(N176),0,IF(N176&lt;&gt;N175,1,0))</f>
        <v>0</v>
      </c>
      <c r="V176" s="127">
        <f ca="1">IF(ISNA(O176),0,1)</f>
        <v>1</v>
      </c>
      <c r="W176" s="127">
        <f ca="1">IF(ISNA(N176),0,IF(AND(N176&lt;&gt;"",ISNA(O176)),1,0))</f>
        <v>0</v>
      </c>
      <c r="X176" s="127" t="str">
        <f ca="1">Y176&amp;AA176&amp;AC176&amp;AE176&amp;AG176&amp;AI176&amp;AK176&amp;AM176&amp;AO176&amp;AQ176&amp;AS176&amp;AU176&amp;AW176&amp;AY176&amp;BA176&amp;BC176&amp;BE176&amp;BG176&amp;BI176</f>
        <v/>
      </c>
      <c r="Y176" s="127" t="str">
        <f>IF($A176&lt;&gt;"",IF(ISNA(VLOOKUP($N176,選手情報!$A$6:$M$119,13,FALSE)),"","/"&amp;VLOOKUP($N176,選手情報!$A$6:$M$119,13,FALSE)),"")</f>
        <v/>
      </c>
      <c r="Z176" s="127" t="str">
        <f ca="1">IF(Y176&lt;&gt;"",IF(ISNA(VLOOKUP($N176,OFFSET(選手情報!$A$6:$BD$119,0,0),56,FALSE)),"",VLOOKUP($N176,OFFSET(選手情報!$A$6:$BD$119,0,0),56,FALSE)),"")</f>
        <v/>
      </c>
      <c r="AA176" s="127" t="str">
        <f ca="1">IF(Z176&lt;&gt;"",IF(ISNA(VLOOKUP($N176,OFFSET(選手情報!$A$6:$M$119,Z176,0),13,FALSE)),"","/"&amp;VLOOKUP($N176,OFFSET(選手情報!$A$6:$M$119,Z176,0),13,FALSE)),"")</f>
        <v/>
      </c>
      <c r="AB176" s="127" t="str">
        <f ca="1">IF(Z176&lt;&gt;"",IF(ISNA(VLOOKUP($N176,OFFSET(選手情報!$A$6:$BD$119,Z176,0),56,FALSE)),"",VLOOKUP($N176,OFFSET(選手情報!$A$6:$BD$119,Z176,0),56,FALSE)),"")</f>
        <v/>
      </c>
      <c r="AC176" s="127" t="str">
        <f ca="1">IF(AB176&lt;&gt;"",IF(ISNA(VLOOKUP($N176,OFFSET(選手情報!$A$6:$M$119,AB176,0),13,FALSE)),"","/"&amp;VLOOKUP($N176,OFFSET(選手情報!$A$6:$M$119,AB176,0),13,FALSE)),"")</f>
        <v/>
      </c>
      <c r="AD176" s="127" t="str">
        <f ca="1">IF(AB176&lt;&gt;"",IF(ISNA(VLOOKUP($N176,OFFSET(選手情報!$A$6:$BD$119,AB176,0),56,FALSE)),"",VLOOKUP($N176,OFFSET(選手情報!$A$6:$BD$119,AB176,0),56,FALSE)),"")</f>
        <v/>
      </c>
      <c r="AE176" s="127" t="str">
        <f ca="1">IF(AD176&lt;&gt;"",IF(ISNA(VLOOKUP($N176,OFFSET(選手情報!$A$6:$M$119,AD176,0),13,FALSE)),"","/"&amp;VLOOKUP($N176,OFFSET(選手情報!$A$6:$M$119,AD176,0),13,FALSE)),"")</f>
        <v/>
      </c>
      <c r="AF176" s="127" t="str">
        <f ca="1">IF(AD176&lt;&gt;"",IF(ISNA(VLOOKUP($N176,OFFSET(選手情報!$A$6:$BD$119,AD176,0),56,FALSE)),"",VLOOKUP($N176,OFFSET(選手情報!$A$6:$BD$119,AD176,0),56,FALSE)),"")</f>
        <v/>
      </c>
      <c r="AG176" s="127" t="str">
        <f ca="1">IF(AF176&lt;&gt;"",IF(ISNA(VLOOKUP($N176,OFFSET(選手情報!$A$6:$M$119,AF176,0),13,FALSE)),"","/"&amp;VLOOKUP($N176,OFFSET(選手情報!$A$6:$M$119,AF176,0),13,FALSE)),"")</f>
        <v/>
      </c>
      <c r="AH176" s="127" t="str">
        <f ca="1">IF(AF176&lt;&gt;"",IF(ISNA(VLOOKUP($N176,OFFSET(選手情報!$A$6:$BD$119,AF176,0),56,FALSE)),"",VLOOKUP($N176,OFFSET(選手情報!$A$6:$BD$119,AF176,0),56,FALSE)),"")</f>
        <v/>
      </c>
      <c r="AI176" s="127" t="str">
        <f ca="1">IF(AH176&lt;&gt;"",IF(ISNA(VLOOKUP($N176,OFFSET(選手情報!$A$6:$M$119,AH176,0),13,FALSE)),"","/"&amp;VLOOKUP($N176,OFFSET(選手情報!$A$6:$M$119,AH176,0),13,FALSE)),"")</f>
        <v/>
      </c>
      <c r="AJ176" s="127" t="str">
        <f ca="1">IF(AH176&lt;&gt;"",IF(ISNA(VLOOKUP($N176,OFFSET(選手情報!$A$6:$BD$119,AH176,0),56,FALSE)),"",VLOOKUP($N176,OFFSET(選手情報!$A$6:$BD$119,AH176,0),56,FALSE)),"")</f>
        <v/>
      </c>
      <c r="AK176" s="127" t="str">
        <f ca="1">IF(AJ176&lt;&gt;"",IF(ISNA(VLOOKUP($N176,OFFSET(選手情報!$A$6:$M$119,AJ176,0),13,FALSE)),"","/"&amp;VLOOKUP($N176,OFFSET(選手情報!$A$6:$M$119,AJ176,0),13,FALSE)),"")</f>
        <v/>
      </c>
      <c r="AL176" s="127" t="str">
        <f ca="1">IF(AJ176&lt;&gt;"",IF(ISNA(VLOOKUP($N176,OFFSET(選手情報!$A$6:$BD$119,AJ176,0),56,FALSE)),"",VLOOKUP($N176,OFFSET(選手情報!$A$6:$BD$119,AJ176,0),56,FALSE)),"")</f>
        <v/>
      </c>
      <c r="AM176" s="127" t="str">
        <f ca="1">IF(AL176&lt;&gt;"",IF(ISNA(VLOOKUP($N176,OFFSET(選手情報!$A$6:$M$119,AL176,0),13,FALSE)),"","/"&amp;VLOOKUP($N176,OFFSET(選手情報!$A$6:$M$119,AL176,0),13,FALSE)),"")</f>
        <v/>
      </c>
      <c r="AN176" s="127" t="str">
        <f ca="1">IF(AL176&lt;&gt;"",IF(ISNA(VLOOKUP($N176,OFFSET(選手情報!$A$6:$BD$119,AL176,0),56,FALSE)),"",VLOOKUP($N176,OFFSET(選手情報!$A$6:$BD$119,AL176,0),56,FALSE)),"")</f>
        <v/>
      </c>
      <c r="AO176" s="127" t="str">
        <f ca="1">IF(AN176&lt;&gt;"",IF(ISNA(VLOOKUP($N176,OFFSET(選手情報!$A$6:$M$119,AN176,0),13,FALSE)),"","/"&amp;VLOOKUP($N176,OFFSET(選手情報!$A$6:$M$119,AN176,0),13,FALSE)),"")</f>
        <v/>
      </c>
      <c r="AP176" s="127" t="str">
        <f ca="1">IF(AN176&lt;&gt;"",IF(ISNA(VLOOKUP($N176,OFFSET(選手情報!$A$6:$BD$119,AN176,0),56,FALSE)),"",VLOOKUP($N176,OFFSET(選手情報!$A$6:$BD$119,AN176,0),56,FALSE)),"")</f>
        <v/>
      </c>
      <c r="AQ176" s="127" t="str">
        <f ca="1">IF(AP176&lt;&gt;"",IF(ISNA(VLOOKUP($N176,OFFSET(選手情報!$A$6:$M$119,AP176,0),13,FALSE)),"","/"&amp;VLOOKUP($N176,OFFSET(選手情報!$A$6:$M$119,AP176,0),13,FALSE)),"")</f>
        <v/>
      </c>
      <c r="AR176" s="127" t="str">
        <f ca="1">IF(AP176&lt;&gt;"",IF(ISNA(VLOOKUP($N176,OFFSET(選手情報!$A$6:$BD$119,AP176,0),56,FALSE)),"",VLOOKUP($N176,OFFSET(選手情報!$A$6:$BD$119,AP176,0),56,FALSE)),"")</f>
        <v/>
      </c>
      <c r="AS176" s="127" t="str">
        <f ca="1">IF(AR176&lt;&gt;"",IF(ISNA(VLOOKUP($N176,OFFSET(選手情報!$A$6:$M$119,AR176,0),13,FALSE)),"","/"&amp;VLOOKUP($N176,OFFSET(選手情報!$A$6:$M$119,AR176,0),13,FALSE)),"")</f>
        <v/>
      </c>
      <c r="AT176" s="127" t="str">
        <f ca="1">IF(AR176&lt;&gt;"",IF(ISNA(VLOOKUP($N176,OFFSET(選手情報!$A$6:$BD$119,AR176,0),56,FALSE)),"",VLOOKUP($N176,OFFSET(選手情報!$A$6:$BD$119,AR176,0),56,FALSE)),"")</f>
        <v/>
      </c>
      <c r="AU176" s="127" t="str">
        <f ca="1">IF(AT176&lt;&gt;"",IF(ISNA(VLOOKUP($N176,OFFSET(選手情報!$A$6:$M$119,AT176,0),13,FALSE)),"","/"&amp;VLOOKUP($N176,OFFSET(選手情報!$A$6:$M$119,AT176,0),13,FALSE)),"")</f>
        <v/>
      </c>
      <c r="AV176" s="127" t="str">
        <f ca="1">IF(AT176&lt;&gt;"",IF(ISNA(VLOOKUP($N176,OFFSET(選手情報!$A$6:$BD$119,AT176,0),56,FALSE)),"",VLOOKUP($N176,OFFSET(選手情報!$A$6:$BD$119,AT176,0),56,FALSE)),"")</f>
        <v/>
      </c>
      <c r="AW176" s="127" t="str">
        <f ca="1">IF(AV176&lt;&gt;"",IF(ISNA(VLOOKUP($N176,OFFSET(選手情報!$A$6:$M$119,AV176,0),13,FALSE)),"","/"&amp;VLOOKUP($N176,OFFSET(選手情報!$A$6:$M$119,AV176,0),13,FALSE)),"")</f>
        <v/>
      </c>
      <c r="AX176" s="127" t="str">
        <f ca="1">IF(AV176&lt;&gt;"",IF(ISNA(VLOOKUP($N176,OFFSET(選手情報!$A$6:$BD$119,AV176,0),56,FALSE)),"",VLOOKUP($N176,OFFSET(選手情報!$A$6:$BD$119,AV176,0),56,FALSE)),"")</f>
        <v/>
      </c>
      <c r="AY176" s="127" t="str">
        <f ca="1">IF(AX176&lt;&gt;"",IF(ISNA(VLOOKUP($N176,OFFSET(選手情報!$A$6:$M$119,AX176,0),13,FALSE)),"","/"&amp;VLOOKUP($N176,OFFSET(選手情報!$A$6:$M$119,AX176,0),13,FALSE)),"")</f>
        <v/>
      </c>
      <c r="AZ176" s="127" t="str">
        <f ca="1">IF(AX176&lt;&gt;"",IF(ISNA(VLOOKUP($N176,OFFSET(選手情報!$A$6:$BD$119,AX176,0),56,FALSE)),"",VLOOKUP($N176,OFFSET(選手情報!$A$6:$BD$119,AX176,0),56,FALSE)),"")</f>
        <v/>
      </c>
      <c r="BA176" s="127" t="str">
        <f ca="1">IF(AZ176&lt;&gt;"",IF(ISNA(VLOOKUP($N176,OFFSET(選手情報!$A$6:$M$119,AZ176,0),13,FALSE)),"","/"&amp;VLOOKUP($N176,OFFSET(選手情報!$A$6:$M$119,AZ176,0),13,FALSE)),"")</f>
        <v/>
      </c>
      <c r="BB176" s="127" t="str">
        <f ca="1">IF(AZ176&lt;&gt;"",IF(ISNA(VLOOKUP($N176,OFFSET(選手情報!$A$6:$BD$119,AZ176,0),56,FALSE)),"",VLOOKUP($N176,OFFSET(選手情報!$A$6:$BD$119,AZ176,0),56,FALSE)),"")</f>
        <v/>
      </c>
      <c r="BC176" s="127" t="str">
        <f ca="1">IF(BB176&lt;&gt;"",IF(ISNA(VLOOKUP($N176,OFFSET(選手情報!$A$6:$M$119,BB176,0),13,FALSE)),"","/"&amp;VLOOKUP($N176,OFFSET(選手情報!$A$6:$M$119,BB176,0),13,FALSE)),"")</f>
        <v/>
      </c>
      <c r="BD176" s="127" t="str">
        <f ca="1">IF(BB176&lt;&gt;"",IF(ISNA(VLOOKUP($N176,OFFSET(選手情報!$A$6:$BD$119,BB176,0),56,FALSE)),"",VLOOKUP($N176,OFFSET(選手情報!$A$6:$BD$119,BB176,0),56,FALSE)),"")</f>
        <v/>
      </c>
      <c r="BE176" s="127" t="str">
        <f ca="1">IF(BD176&lt;&gt;"",IF(ISNA(VLOOKUP($N176,OFFSET(選手情報!$A$6:$M$119,BD176,0),13,FALSE)),"","/"&amp;VLOOKUP($N176,OFFSET(選手情報!$A$6:$M$119,BD176,0),13,FALSE)),"")</f>
        <v/>
      </c>
      <c r="BF176" s="127" t="str">
        <f ca="1">IF(BD176&lt;&gt;"",IF(ISNA(VLOOKUP($N176,OFFSET(選手情報!$A$6:$BD$119,BD176,0),56,FALSE)),"",VLOOKUP($N176,OFFSET(選手情報!$A$6:$BD$119,BD176,0),56,FALSE)),"")</f>
        <v/>
      </c>
      <c r="BG176" s="127" t="str">
        <f ca="1">IF(BF176&lt;&gt;"",IF(ISNA(VLOOKUP($N176,OFFSET(選手情報!$A$6:$M$119,BF176,0),13,FALSE)),"","/"&amp;VLOOKUP($N176,OFFSET(選手情報!$A$6:$M$119,BF176,0),13,FALSE)),"")</f>
        <v/>
      </c>
      <c r="BH176" s="127" t="str">
        <f ca="1">IF(BF176&lt;&gt;"",IF(ISNA(VLOOKUP($N176,OFFSET(選手情報!$A$6:$BD$119,BF176,0),56,FALSE)),"",VLOOKUP($N176,OFFSET(選手情報!$A$6:$BD$119,BF176,0),56,FALSE)),"")</f>
        <v/>
      </c>
      <c r="BI176" s="127" t="str">
        <f ca="1">IF(BH176&lt;&gt;"",IF(ISNA(VLOOKUP($N176,OFFSET(選手情報!$A$6:$M$119,BH176,0),13,FALSE)),"","/"&amp;VLOOKUP($N176,OFFSET(選手情報!$A$6:$M$119,BH176,0),13,FALSE)),"")</f>
        <v/>
      </c>
    </row>
    <row r="177" spans="1:61" s="127" customFormat="1" ht="12.6" customHeight="1" thickBot="1">
      <c r="A177" s="134" t="str">
        <f>IF(ISNA(VLOOKUP($C$2&amp;N177,選手データ!A:H,3,FALSE)),"",IF(M177&lt;&gt;M176,VLOOKUP($C$2&amp;N177,選手データ!A:H,3,FALSE),""))</f>
        <v/>
      </c>
      <c r="B177" s="135" t="str">
        <f>IF(A177&lt;&gt;"",VLOOKUP($C$2&amp;N177,選手データ!A:H,4,FALSE),"")</f>
        <v/>
      </c>
      <c r="C177" s="135" t="str">
        <f>IF(A177&lt;&gt;"",VLOOKUP($C$2&amp;N177,選手データ!A:H,5,FALSE),"")</f>
        <v/>
      </c>
      <c r="D177" s="135" t="str">
        <f>IF(A177&lt;&gt;"",VLOOKUP($C$2&amp;N177,選手データ!A:H,6,FALSE),"")</f>
        <v/>
      </c>
      <c r="E177" s="135" t="str">
        <f>IF(A177&lt;&gt;"",VLOOKUP($C$2&amp;N177,選手データ!A:H,7,FALSE),"")</f>
        <v/>
      </c>
      <c r="F177" s="140" t="str">
        <f>IF(A177&lt;&gt;"",VLOOKUP($C$2&amp;N177,選手データ!A:H,8,FALSE),"")</f>
        <v/>
      </c>
      <c r="G177" s="140" t="str">
        <f>IF(F177&lt;&gt;"",IF(DATEDIF(F177,設定!$B$12,"Y")&lt;20,"〇",""),"")</f>
        <v/>
      </c>
      <c r="H177" s="137" t="str">
        <f t="shared" ca="1" si="19"/>
        <v/>
      </c>
      <c r="I177" s="138" t="str">
        <f t="shared" ca="1" si="20"/>
        <v/>
      </c>
      <c r="J177" s="137" t="str">
        <f t="shared" ca="1" si="21"/>
        <v/>
      </c>
      <c r="K177" s="141" t="str">
        <f>IF(A177&lt;&gt;"",IF(COUNTIF(リレーチーム情報!$B$17:$B$22,A177&amp;E177)=1,"〇",""),"")</f>
        <v/>
      </c>
      <c r="L177" s="142" t="str">
        <f>IF(A177&lt;&gt;"",IF(COUNTIF(リレーチーム情報!$B$23:$B$28,A177&amp;E177)=1,"〇",""),"")</f>
        <v/>
      </c>
      <c r="M177" s="127">
        <f>IF(学校情報!$A$4&lt;&gt;"",0,IF(S176=0,MAX($M$109:M176)+1,M176))</f>
        <v>0</v>
      </c>
      <c r="N177" s="127" t="str">
        <f>IF(M177&lt;&gt;0,VLOOKUP(M177,選手情報!BI:BJ,2,FALSE),"")</f>
        <v/>
      </c>
      <c r="O177" s="127" t="str">
        <f ca="1">IF(M177&lt;&gt;0,VLOOKUP(N177,OFFSET(選手情報!$A$6:$W$119,IF(M177&lt;&gt;M176,0,R176),0),13,FALSE),"")</f>
        <v/>
      </c>
      <c r="P177" s="127" t="str">
        <f ca="1">IF(M177&lt;&gt;0,VLOOKUP(N177,OFFSET(選手情報!$A$6:$W$119,IF(M177&lt;&gt;M176,0,R176),0),16,FALSE),"")</f>
        <v/>
      </c>
      <c r="Q177" s="127" t="str">
        <f ca="1">IF(M177&lt;&gt;0,VLOOKUP(N177,OFFSET(選手情報!$A$6:$W$119,IF(M177&lt;&gt;M176,0,R176),0),21,FALSE),"")</f>
        <v/>
      </c>
      <c r="R177" s="127">
        <f ca="1">IF(M177&lt;&gt;0,VLOOKUP(N177,OFFSET(選手情報!$A$6:$BD$119,IF(M177&lt;&gt;M176,0,R176),0),56,FALSE),0)</f>
        <v>0</v>
      </c>
      <c r="S177" s="127">
        <f ca="1">IF(M177&lt;&gt;0,IF(ISNA(R177),0,COUNTIF(OFFSET(選手情報!$A$6:$A$119,R177,0),N177)),0)</f>
        <v>0</v>
      </c>
      <c r="U177" s="127">
        <f t="shared" si="16"/>
        <v>0</v>
      </c>
      <c r="V177" s="127">
        <f ca="1">IF(ISNA(O177),0,1)</f>
        <v>1</v>
      </c>
      <c r="W177" s="127">
        <f ca="1">IF(ISNA(N177),0,IF(AND(N177&lt;&gt;"",ISNA(O177)),1,0))</f>
        <v>0</v>
      </c>
      <c r="X177" s="127" t="str">
        <f ca="1">Y177&amp;AA177&amp;AC177&amp;AE177&amp;AG177&amp;AI177&amp;AK177&amp;AM177&amp;AO177&amp;AQ177&amp;AS177&amp;AU177&amp;AW177&amp;AY177&amp;BA177&amp;BC177&amp;BE177&amp;BG177&amp;BI177</f>
        <v/>
      </c>
      <c r="Y177" s="127" t="str">
        <f>IF($A177&lt;&gt;"",IF(ISNA(VLOOKUP($N177,選手情報!$A$6:$M$119,13,FALSE)),"","/"&amp;VLOOKUP($N177,選手情報!$A$6:$M$119,13,FALSE)),"")</f>
        <v/>
      </c>
      <c r="Z177" s="127" t="str">
        <f ca="1">IF(Y177&lt;&gt;"",IF(ISNA(VLOOKUP($N177,OFFSET(選手情報!$A$6:$BD$119,0,0),56,FALSE)),"",VLOOKUP($N177,OFFSET(選手情報!$A$6:$BD$119,0,0),56,FALSE)),"")</f>
        <v/>
      </c>
      <c r="AA177" s="127" t="str">
        <f ca="1">IF(Z177&lt;&gt;"",IF(ISNA(VLOOKUP($N177,OFFSET(選手情報!$A$6:$M$119,Z177,0),13,FALSE)),"","/"&amp;VLOOKUP($N177,OFFSET(選手情報!$A$6:$M$119,Z177,0),13,FALSE)),"")</f>
        <v/>
      </c>
      <c r="AB177" s="127" t="str">
        <f ca="1">IF(Z177&lt;&gt;"",IF(ISNA(VLOOKUP($N177,OFFSET(選手情報!$A$6:$BD$119,Z177,0),56,FALSE)),"",VLOOKUP($N177,OFFSET(選手情報!$A$6:$BD$119,Z177,0),56,FALSE)),"")</f>
        <v/>
      </c>
      <c r="AC177" s="127" t="str">
        <f ca="1">IF(AB177&lt;&gt;"",IF(ISNA(VLOOKUP($N177,OFFSET(選手情報!$A$6:$M$119,AB177,0),13,FALSE)),"","/"&amp;VLOOKUP($N177,OFFSET(選手情報!$A$6:$M$119,AB177,0),13,FALSE)),"")</f>
        <v/>
      </c>
      <c r="AD177" s="127" t="str">
        <f ca="1">IF(AB177&lt;&gt;"",IF(ISNA(VLOOKUP($N177,OFFSET(選手情報!$A$6:$BD$119,AB177,0),56,FALSE)),"",VLOOKUP($N177,OFFSET(選手情報!$A$6:$BD$119,AB177,0),56,FALSE)),"")</f>
        <v/>
      </c>
      <c r="AE177" s="127" t="str">
        <f ca="1">IF(AD177&lt;&gt;"",IF(ISNA(VLOOKUP($N177,OFFSET(選手情報!$A$6:$M$119,AD177,0),13,FALSE)),"","/"&amp;VLOOKUP($N177,OFFSET(選手情報!$A$6:$M$119,AD177,0),13,FALSE)),"")</f>
        <v/>
      </c>
      <c r="AF177" s="127" t="str">
        <f ca="1">IF(AD177&lt;&gt;"",IF(ISNA(VLOOKUP($N177,OFFSET(選手情報!$A$6:$BD$119,AD177,0),56,FALSE)),"",VLOOKUP($N177,OFFSET(選手情報!$A$6:$BD$119,AD177,0),56,FALSE)),"")</f>
        <v/>
      </c>
      <c r="AG177" s="127" t="str">
        <f ca="1">IF(AF177&lt;&gt;"",IF(ISNA(VLOOKUP($N177,OFFSET(選手情報!$A$6:$M$119,AF177,0),13,FALSE)),"","/"&amp;VLOOKUP($N177,OFFSET(選手情報!$A$6:$M$119,AF177,0),13,FALSE)),"")</f>
        <v/>
      </c>
      <c r="AH177" s="127" t="str">
        <f ca="1">IF(AF177&lt;&gt;"",IF(ISNA(VLOOKUP($N177,OFFSET(選手情報!$A$6:$BD$119,AF177,0),56,FALSE)),"",VLOOKUP($N177,OFFSET(選手情報!$A$6:$BD$119,AF177,0),56,FALSE)),"")</f>
        <v/>
      </c>
      <c r="AI177" s="127" t="str">
        <f ca="1">IF(AH177&lt;&gt;"",IF(ISNA(VLOOKUP($N177,OFFSET(選手情報!$A$6:$M$119,AH177,0),13,FALSE)),"","/"&amp;VLOOKUP($N177,OFFSET(選手情報!$A$6:$M$119,AH177,0),13,FALSE)),"")</f>
        <v/>
      </c>
      <c r="AJ177" s="127" t="str">
        <f ca="1">IF(AH177&lt;&gt;"",IF(ISNA(VLOOKUP($N177,OFFSET(選手情報!$A$6:$BD$119,AH177,0),56,FALSE)),"",VLOOKUP($N177,OFFSET(選手情報!$A$6:$BD$119,AH177,0),56,FALSE)),"")</f>
        <v/>
      </c>
      <c r="AK177" s="127" t="str">
        <f ca="1">IF(AJ177&lt;&gt;"",IF(ISNA(VLOOKUP($N177,OFFSET(選手情報!$A$6:$M$119,AJ177,0),13,FALSE)),"","/"&amp;VLOOKUP($N177,OFFSET(選手情報!$A$6:$M$119,AJ177,0),13,FALSE)),"")</f>
        <v/>
      </c>
      <c r="AL177" s="127" t="str">
        <f ca="1">IF(AJ177&lt;&gt;"",IF(ISNA(VLOOKUP($N177,OFFSET(選手情報!$A$6:$BD$119,AJ177,0),56,FALSE)),"",VLOOKUP($N177,OFFSET(選手情報!$A$6:$BD$119,AJ177,0),56,FALSE)),"")</f>
        <v/>
      </c>
      <c r="AM177" s="127" t="str">
        <f ca="1">IF(AL177&lt;&gt;"",IF(ISNA(VLOOKUP($N177,OFFSET(選手情報!$A$6:$M$119,AL177,0),13,FALSE)),"","/"&amp;VLOOKUP($N177,OFFSET(選手情報!$A$6:$M$119,AL177,0),13,FALSE)),"")</f>
        <v/>
      </c>
      <c r="AN177" s="127" t="str">
        <f ca="1">IF(AL177&lt;&gt;"",IF(ISNA(VLOOKUP($N177,OFFSET(選手情報!$A$6:$BD$119,AL177,0),56,FALSE)),"",VLOOKUP($N177,OFFSET(選手情報!$A$6:$BD$119,AL177,0),56,FALSE)),"")</f>
        <v/>
      </c>
      <c r="AO177" s="127" t="str">
        <f ca="1">IF(AN177&lt;&gt;"",IF(ISNA(VLOOKUP($N177,OFFSET(選手情報!$A$6:$M$119,AN177,0),13,FALSE)),"","/"&amp;VLOOKUP($N177,OFFSET(選手情報!$A$6:$M$119,AN177,0),13,FALSE)),"")</f>
        <v/>
      </c>
      <c r="AP177" s="127" t="str">
        <f ca="1">IF(AN177&lt;&gt;"",IF(ISNA(VLOOKUP($N177,OFFSET(選手情報!$A$6:$BD$119,AN177,0),56,FALSE)),"",VLOOKUP($N177,OFFSET(選手情報!$A$6:$BD$119,AN177,0),56,FALSE)),"")</f>
        <v/>
      </c>
      <c r="AQ177" s="127" t="str">
        <f ca="1">IF(AP177&lt;&gt;"",IF(ISNA(VLOOKUP($N177,OFFSET(選手情報!$A$6:$M$119,AP177,0),13,FALSE)),"","/"&amp;VLOOKUP($N177,OFFSET(選手情報!$A$6:$M$119,AP177,0),13,FALSE)),"")</f>
        <v/>
      </c>
      <c r="AR177" s="127" t="str">
        <f ca="1">IF(AP177&lt;&gt;"",IF(ISNA(VLOOKUP($N177,OFFSET(選手情報!$A$6:$BD$119,AP177,0),56,FALSE)),"",VLOOKUP($N177,OFFSET(選手情報!$A$6:$BD$119,AP177,0),56,FALSE)),"")</f>
        <v/>
      </c>
      <c r="AS177" s="127" t="str">
        <f ca="1">IF(AR177&lt;&gt;"",IF(ISNA(VLOOKUP($N177,OFFSET(選手情報!$A$6:$M$119,AR177,0),13,FALSE)),"","/"&amp;VLOOKUP($N177,OFFSET(選手情報!$A$6:$M$119,AR177,0),13,FALSE)),"")</f>
        <v/>
      </c>
      <c r="AT177" s="127" t="str">
        <f ca="1">IF(AR177&lt;&gt;"",IF(ISNA(VLOOKUP($N177,OFFSET(選手情報!$A$6:$BD$119,AR177,0),56,FALSE)),"",VLOOKUP($N177,OFFSET(選手情報!$A$6:$BD$119,AR177,0),56,FALSE)),"")</f>
        <v/>
      </c>
      <c r="AU177" s="127" t="str">
        <f ca="1">IF(AT177&lt;&gt;"",IF(ISNA(VLOOKUP($N177,OFFSET(選手情報!$A$6:$M$119,AT177,0),13,FALSE)),"","/"&amp;VLOOKUP($N177,OFFSET(選手情報!$A$6:$M$119,AT177,0),13,FALSE)),"")</f>
        <v/>
      </c>
      <c r="AV177" s="127" t="str">
        <f ca="1">IF(AT177&lt;&gt;"",IF(ISNA(VLOOKUP($N177,OFFSET(選手情報!$A$6:$BD$119,AT177,0),56,FALSE)),"",VLOOKUP($N177,OFFSET(選手情報!$A$6:$BD$119,AT177,0),56,FALSE)),"")</f>
        <v/>
      </c>
      <c r="AW177" s="127" t="str">
        <f ca="1">IF(AV177&lt;&gt;"",IF(ISNA(VLOOKUP($N177,OFFSET(選手情報!$A$6:$M$119,AV177,0),13,FALSE)),"","/"&amp;VLOOKUP($N177,OFFSET(選手情報!$A$6:$M$119,AV177,0),13,FALSE)),"")</f>
        <v/>
      </c>
      <c r="AX177" s="127" t="str">
        <f ca="1">IF(AV177&lt;&gt;"",IF(ISNA(VLOOKUP($N177,OFFSET(選手情報!$A$6:$BD$119,AV177,0),56,FALSE)),"",VLOOKUP($N177,OFFSET(選手情報!$A$6:$BD$119,AV177,0),56,FALSE)),"")</f>
        <v/>
      </c>
      <c r="AY177" s="127" t="str">
        <f ca="1">IF(AX177&lt;&gt;"",IF(ISNA(VLOOKUP($N177,OFFSET(選手情報!$A$6:$M$119,AX177,0),13,FALSE)),"","/"&amp;VLOOKUP($N177,OFFSET(選手情報!$A$6:$M$119,AX177,0),13,FALSE)),"")</f>
        <v/>
      </c>
      <c r="AZ177" s="127" t="str">
        <f ca="1">IF(AX177&lt;&gt;"",IF(ISNA(VLOOKUP($N177,OFFSET(選手情報!$A$6:$BD$119,AX177,0),56,FALSE)),"",VLOOKUP($N177,OFFSET(選手情報!$A$6:$BD$119,AX177,0),56,FALSE)),"")</f>
        <v/>
      </c>
      <c r="BA177" s="127" t="str">
        <f ca="1">IF(AZ177&lt;&gt;"",IF(ISNA(VLOOKUP($N177,OFFSET(選手情報!$A$6:$M$119,AZ177,0),13,FALSE)),"","/"&amp;VLOOKUP($N177,OFFSET(選手情報!$A$6:$M$119,AZ177,0),13,FALSE)),"")</f>
        <v/>
      </c>
      <c r="BB177" s="127" t="str">
        <f ca="1">IF(AZ177&lt;&gt;"",IF(ISNA(VLOOKUP($N177,OFFSET(選手情報!$A$6:$BD$119,AZ177,0),56,FALSE)),"",VLOOKUP($N177,OFFSET(選手情報!$A$6:$BD$119,AZ177,0),56,FALSE)),"")</f>
        <v/>
      </c>
      <c r="BC177" s="127" t="str">
        <f ca="1">IF(BB177&lt;&gt;"",IF(ISNA(VLOOKUP($N177,OFFSET(選手情報!$A$6:$M$119,BB177,0),13,FALSE)),"","/"&amp;VLOOKUP($N177,OFFSET(選手情報!$A$6:$M$119,BB177,0),13,FALSE)),"")</f>
        <v/>
      </c>
      <c r="BD177" s="127" t="str">
        <f ca="1">IF(BB177&lt;&gt;"",IF(ISNA(VLOOKUP($N177,OFFSET(選手情報!$A$6:$BD$119,BB177,0),56,FALSE)),"",VLOOKUP($N177,OFFSET(選手情報!$A$6:$BD$119,BB177,0),56,FALSE)),"")</f>
        <v/>
      </c>
      <c r="BE177" s="127" t="str">
        <f ca="1">IF(BD177&lt;&gt;"",IF(ISNA(VLOOKUP($N177,OFFSET(選手情報!$A$6:$M$119,BD177,0),13,FALSE)),"","/"&amp;VLOOKUP($N177,OFFSET(選手情報!$A$6:$M$119,BD177,0),13,FALSE)),"")</f>
        <v/>
      </c>
      <c r="BF177" s="127" t="str">
        <f ca="1">IF(BD177&lt;&gt;"",IF(ISNA(VLOOKUP($N177,OFFSET(選手情報!$A$6:$BD$119,BD177,0),56,FALSE)),"",VLOOKUP($N177,OFFSET(選手情報!$A$6:$BD$119,BD177,0),56,FALSE)),"")</f>
        <v/>
      </c>
      <c r="BG177" s="127" t="str">
        <f ca="1">IF(BF177&lt;&gt;"",IF(ISNA(VLOOKUP($N177,OFFSET(選手情報!$A$6:$M$119,BF177,0),13,FALSE)),"","/"&amp;VLOOKUP($N177,OFFSET(選手情報!$A$6:$M$119,BF177,0),13,FALSE)),"")</f>
        <v/>
      </c>
      <c r="BH177" s="127" t="str">
        <f ca="1">IF(BF177&lt;&gt;"",IF(ISNA(VLOOKUP($N177,OFFSET(選手情報!$A$6:$BD$119,BF177,0),56,FALSE)),"",VLOOKUP($N177,OFFSET(選手情報!$A$6:$BD$119,BF177,0),56,FALSE)),"")</f>
        <v/>
      </c>
      <c r="BI177" s="127" t="str">
        <f ca="1">IF(BH177&lt;&gt;"",IF(ISNA(VLOOKUP($N177,OFFSET(選手情報!$A$6:$M$119,BH177,0),13,FALSE)),"","/"&amp;VLOOKUP($N177,OFFSET(選手情報!$A$6:$M$119,BH177,0),13,FALSE)),"")</f>
        <v/>
      </c>
    </row>
  </sheetData>
  <sheetProtection password="E027" sheet="1" objects="1" scenarios="1" selectLockedCells="1"/>
  <mergeCells count="102">
    <mergeCell ref="G35:G36"/>
    <mergeCell ref="A35:A36"/>
    <mergeCell ref="B35:B36"/>
    <mergeCell ref="C35:C36"/>
    <mergeCell ref="D35:D36"/>
    <mergeCell ref="E35:E36"/>
    <mergeCell ref="F35:F36"/>
    <mergeCell ref="K107:L107"/>
    <mergeCell ref="A107:A108"/>
    <mergeCell ref="B107:B108"/>
    <mergeCell ref="C107:C108"/>
    <mergeCell ref="H107:H108"/>
    <mergeCell ref="D107:D108"/>
    <mergeCell ref="F107:F108"/>
    <mergeCell ref="E107:E108"/>
    <mergeCell ref="H35:H36"/>
    <mergeCell ref="I35:J36"/>
    <mergeCell ref="I107:J108"/>
    <mergeCell ref="G107:G108"/>
    <mergeCell ref="G106:L106"/>
    <mergeCell ref="K35:L35"/>
    <mergeCell ref="K1:L1"/>
    <mergeCell ref="E11:F11"/>
    <mergeCell ref="G13:H13"/>
    <mergeCell ref="A24:L25"/>
    <mergeCell ref="C9:L9"/>
    <mergeCell ref="C11:D11"/>
    <mergeCell ref="G11:H11"/>
    <mergeCell ref="I11:K11"/>
    <mergeCell ref="A14:B14"/>
    <mergeCell ref="A15:B15"/>
    <mergeCell ref="C12:D12"/>
    <mergeCell ref="G15:K15"/>
    <mergeCell ref="I13:K13"/>
    <mergeCell ref="C14:D14"/>
    <mergeCell ref="E14:F14"/>
    <mergeCell ref="G14:H14"/>
    <mergeCell ref="I14:K14"/>
    <mergeCell ref="C13:D13"/>
    <mergeCell ref="I12:K12"/>
    <mergeCell ref="G12:H12"/>
    <mergeCell ref="E12:F12"/>
    <mergeCell ref="AC36:AD36"/>
    <mergeCell ref="AE36:AF36"/>
    <mergeCell ref="G34:L34"/>
    <mergeCell ref="A2:B2"/>
    <mergeCell ref="C8:F8"/>
    <mergeCell ref="C7:H7"/>
    <mergeCell ref="C6:H6"/>
    <mergeCell ref="C5:H5"/>
    <mergeCell ref="C4:H4"/>
    <mergeCell ref="C3:H3"/>
    <mergeCell ref="C2:H2"/>
    <mergeCell ref="A13:B13"/>
    <mergeCell ref="E13:F13"/>
    <mergeCell ref="A4:B4"/>
    <mergeCell ref="A3:B3"/>
    <mergeCell ref="A6:B6"/>
    <mergeCell ref="A5:B5"/>
    <mergeCell ref="A9:B9"/>
    <mergeCell ref="A8:B8"/>
    <mergeCell ref="A7:B7"/>
    <mergeCell ref="A11:B11"/>
    <mergeCell ref="C15:D15"/>
    <mergeCell ref="E15:F15"/>
    <mergeCell ref="A12:B12"/>
    <mergeCell ref="BE36:BF36"/>
    <mergeCell ref="BG36:BH36"/>
    <mergeCell ref="BA36:BB36"/>
    <mergeCell ref="BC36:BD36"/>
    <mergeCell ref="AO36:AP36"/>
    <mergeCell ref="AQ36:AR36"/>
    <mergeCell ref="BI36:BJ36"/>
    <mergeCell ref="Y108:Z108"/>
    <mergeCell ref="AA108:AB108"/>
    <mergeCell ref="AC108:AD108"/>
    <mergeCell ref="AE108:AF108"/>
    <mergeCell ref="AG108:AH108"/>
    <mergeCell ref="AI108:AJ108"/>
    <mergeCell ref="AK108:AL108"/>
    <mergeCell ref="AW36:AX36"/>
    <mergeCell ref="AY36:AZ36"/>
    <mergeCell ref="AS36:AT36"/>
    <mergeCell ref="AU36:AV36"/>
    <mergeCell ref="AG36:AH36"/>
    <mergeCell ref="AI36:AJ36"/>
    <mergeCell ref="AK36:AL36"/>
    <mergeCell ref="AM36:AN36"/>
    <mergeCell ref="Y36:Z36"/>
    <mergeCell ref="AA36:AB36"/>
    <mergeCell ref="BG108:BH108"/>
    <mergeCell ref="BI108:BJ108"/>
    <mergeCell ref="AQ108:AR108"/>
    <mergeCell ref="AS108:AT108"/>
    <mergeCell ref="AU108:AV108"/>
    <mergeCell ref="AW108:AX108"/>
    <mergeCell ref="AY108:AZ108"/>
    <mergeCell ref="BA108:BB108"/>
    <mergeCell ref="AM108:AN108"/>
    <mergeCell ref="AO108:AP108"/>
    <mergeCell ref="BC108:BD108"/>
    <mergeCell ref="BE108:BF108"/>
  </mergeCells>
  <phoneticPr fontId="2"/>
  <conditionalFormatting sqref="A38:G90 K38:L90 A92:G96 K92:L96 A110:G152 K110:L152 A168:G176 K168:L176 A98:G104 K98:L104 A154:G166 K154:L166">
    <cfRule type="expression" dxfId="15" priority="5" stopIfTrue="1">
      <formula>OR($A39&lt;&gt;"",ISNA($N39))</formula>
    </cfRule>
  </conditionalFormatting>
  <conditionalFormatting sqref="A167:G167 K167:L167 A153:G153 K153:L153">
    <cfRule type="expression" dxfId="14" priority="27" stopIfTrue="1">
      <formula>OR($A160&lt;&gt;"",ISNA($N160))</formula>
    </cfRule>
  </conditionalFormatting>
  <conditionalFormatting sqref="K91:L91 A91:G91">
    <cfRule type="expression" dxfId="13" priority="31" stopIfTrue="1">
      <formula>OR($A105&lt;&gt;"",ISNA($N105))</formula>
    </cfRule>
  </conditionalFormatting>
  <conditionalFormatting sqref="A97:G97 K97:L97">
    <cfRule type="expression" dxfId="12" priority="34" stopIfTrue="1">
      <formula>OR($A105&lt;&gt;"",ISNA($N105))</formula>
    </cfRule>
  </conditionalFormatting>
  <conditionalFormatting sqref="A109:G109 K109:L109 A37:G37 K37:L37">
    <cfRule type="expression" dxfId="11" priority="6" stopIfTrue="1">
      <formula>OR($A$110&lt;&gt;"",ISNA($N$110))</formula>
    </cfRule>
  </conditionalFormatting>
  <conditionalFormatting sqref="A105:G105 K105:L105">
    <cfRule type="expression" dxfId="10" priority="40" stopIfTrue="1">
      <formula>OR(#REF!&lt;&gt;"",ISNA(#REF!))</formula>
    </cfRule>
  </conditionalFormatting>
  <printOptions horizontalCentered="1"/>
  <pageMargins left="0.11811023622047245" right="0.11811023622047245" top="0.11811023622047245" bottom="0.11811023622047245" header="0" footer="0"/>
  <pageSetup paperSize="9" scale="99" orientation="portrait" r:id="rId1"/>
  <headerFooter alignWithMargins="0"/>
  <rowBreaks count="2" manualBreakCount="2">
    <brk id="33" max="11" man="1"/>
    <brk id="105" max="11" man="1"/>
  </rowBreaks>
  <ignoredErrors>
    <ignoredError sqref="C9 C2:H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4"/>
  <sheetViews>
    <sheetView view="pageBreakPreview" zoomScale="70" zoomScaleNormal="100" zoomScaleSheetLayoutView="85" workbookViewId="0">
      <selection activeCell="AK4" sqref="AK4:AK6"/>
    </sheetView>
  </sheetViews>
  <sheetFormatPr defaultRowHeight="15"/>
  <cols>
    <col min="1" max="8" width="3.625" style="9" customWidth="1"/>
    <col min="9" max="9" width="5" style="9" customWidth="1"/>
    <col min="10" max="11" width="3.625" style="9" customWidth="1"/>
    <col min="12" max="12" width="7" style="9" customWidth="1"/>
    <col min="13" max="14" width="3.625" style="9" customWidth="1"/>
    <col min="15" max="15" width="3.125" style="9" customWidth="1"/>
    <col min="16" max="23" width="3.625" style="9" customWidth="1"/>
    <col min="24" max="24" width="5" style="9" customWidth="1"/>
    <col min="25" max="26" width="3.625" style="9" customWidth="1"/>
    <col min="27" max="27" width="7" style="9" customWidth="1"/>
    <col min="28" max="29" width="3.625" style="9" customWidth="1"/>
    <col min="30" max="35" width="3.625" style="9" hidden="1" customWidth="1"/>
    <col min="36" max="36" width="3.625" style="9" customWidth="1"/>
    <col min="37" max="37" width="11.625" style="11" bestFit="1" customWidth="1"/>
    <col min="38" max="39" width="9" style="9"/>
    <col min="40" max="40" width="11.625" style="9" bestFit="1" customWidth="1"/>
    <col min="41" max="16384" width="9" style="9"/>
  </cols>
  <sheetData>
    <row r="1" spans="1:43" ht="15.75" thickBot="1">
      <c r="A1" s="316" t="str">
        <f>設定!$B$1</f>
        <v>第６８回西日本学生陸上競技対校選手権大会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294" t="s">
        <v>114</v>
      </c>
      <c r="N1" s="295"/>
      <c r="O1" s="318" t="s">
        <v>128</v>
      </c>
      <c r="P1" s="316" t="str">
        <f>設定!$B$1</f>
        <v>第６８回西日本学生陸上競技対校選手権大会</v>
      </c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294" t="s">
        <v>114</v>
      </c>
      <c r="AC1" s="295"/>
      <c r="AE1" s="9">
        <v>1</v>
      </c>
      <c r="AK1" s="270" t="s">
        <v>180</v>
      </c>
      <c r="AL1" s="270"/>
      <c r="AM1" s="270"/>
      <c r="AN1" s="270"/>
      <c r="AO1" s="270"/>
      <c r="AP1" s="270"/>
      <c r="AQ1" s="270"/>
    </row>
    <row r="2" spans="1:43" ht="15.75" customHeight="1" thickTop="1">
      <c r="A2" s="296" t="s">
        <v>124</v>
      </c>
      <c r="B2" s="297"/>
      <c r="C2" s="304" t="str">
        <f>IF(AD2&lt;&gt;"",VLOOKUP(AD2,選手情報!E:W,9,FALSE),"")</f>
        <v/>
      </c>
      <c r="D2" s="305"/>
      <c r="E2" s="305"/>
      <c r="F2" s="306" t="s">
        <v>146</v>
      </c>
      <c r="G2" s="307"/>
      <c r="H2" s="308"/>
      <c r="I2" s="312" t="str">
        <f>IF(AD5&lt;&gt;"",AD5,"")</f>
        <v/>
      </c>
      <c r="J2" s="313"/>
      <c r="K2" s="313"/>
      <c r="L2" s="298" t="s">
        <v>116</v>
      </c>
      <c r="M2" s="300" t="str">
        <f>IF(AD8&lt;&gt;"",AD8,"")</f>
        <v/>
      </c>
      <c r="N2" s="301"/>
      <c r="O2" s="293"/>
      <c r="P2" s="296" t="s">
        <v>124</v>
      </c>
      <c r="Q2" s="297"/>
      <c r="R2" s="304" t="str">
        <f>IF(AE2&lt;&gt;"",VLOOKUP(AE2,選手情報!E:W,9,FALSE),"")</f>
        <v/>
      </c>
      <c r="S2" s="305"/>
      <c r="T2" s="305"/>
      <c r="U2" s="306" t="s">
        <v>146</v>
      </c>
      <c r="V2" s="307"/>
      <c r="W2" s="308"/>
      <c r="X2" s="312" t="str">
        <f>IF(AE5&lt;&gt;"",AE5,"")</f>
        <v/>
      </c>
      <c r="Y2" s="313"/>
      <c r="Z2" s="313"/>
      <c r="AA2" s="298" t="s">
        <v>116</v>
      </c>
      <c r="AB2" s="300" t="str">
        <f>IF(AE8&lt;&gt;"",AE8,"")</f>
        <v/>
      </c>
      <c r="AC2" s="301"/>
      <c r="AD2" s="9" t="str">
        <f>IF(学校情報!$A$4&lt;&gt;"","",IF(COUNTIF(選手情報!E:E,($AK$4-1)*10+1)=1,($AK$4-1)*10+1,""))</f>
        <v/>
      </c>
      <c r="AE2" s="9" t="str">
        <f>IF(学校情報!$A$4&lt;&gt;"","",IF(COUNTIF(選手情報!E:E,($AK$4-1)*10+2)=1,($AK$4-1)*10+2,""))</f>
        <v/>
      </c>
      <c r="AK2" s="270"/>
      <c r="AL2" s="270"/>
      <c r="AM2" s="270"/>
      <c r="AN2" s="270"/>
      <c r="AO2" s="270"/>
      <c r="AP2" s="270"/>
      <c r="AQ2" s="270"/>
    </row>
    <row r="3" spans="1:43" ht="15.75" customHeight="1" thickBot="1">
      <c r="A3" s="239"/>
      <c r="B3" s="240"/>
      <c r="C3" s="244"/>
      <c r="D3" s="245"/>
      <c r="E3" s="245"/>
      <c r="F3" s="309"/>
      <c r="G3" s="310"/>
      <c r="H3" s="311"/>
      <c r="I3" s="314"/>
      <c r="J3" s="315"/>
      <c r="K3" s="315"/>
      <c r="L3" s="299"/>
      <c r="M3" s="302"/>
      <c r="N3" s="303"/>
      <c r="O3" s="293"/>
      <c r="P3" s="239"/>
      <c r="Q3" s="240"/>
      <c r="R3" s="244"/>
      <c r="S3" s="245"/>
      <c r="T3" s="245"/>
      <c r="U3" s="309"/>
      <c r="V3" s="310"/>
      <c r="W3" s="311"/>
      <c r="X3" s="314"/>
      <c r="Y3" s="315"/>
      <c r="Z3" s="315"/>
      <c r="AA3" s="299"/>
      <c r="AB3" s="302"/>
      <c r="AC3" s="303"/>
      <c r="AD3" s="9" t="str">
        <f>IF(AD2&lt;&gt;"",VLOOKUP(AD2,選手情報!E:W,3,FALSE),"")</f>
        <v/>
      </c>
      <c r="AE3" s="9" t="str">
        <f>IF(AE2&lt;&gt;"",VLOOKUP(AE2,選手情報!E:W,3,FALSE),"")</f>
        <v/>
      </c>
      <c r="AK3" s="270"/>
      <c r="AL3" s="270"/>
      <c r="AM3" s="270"/>
      <c r="AN3" s="270"/>
      <c r="AO3" s="270"/>
      <c r="AP3" s="270"/>
      <c r="AQ3" s="270"/>
    </row>
    <row r="4" spans="1:43">
      <c r="A4" s="271" t="s">
        <v>125</v>
      </c>
      <c r="B4" s="238"/>
      <c r="C4" s="272" t="s">
        <v>117</v>
      </c>
      <c r="D4" s="238"/>
      <c r="E4" s="238"/>
      <c r="F4" s="238"/>
      <c r="G4" s="238"/>
      <c r="H4" s="273"/>
      <c r="I4" s="274" t="s">
        <v>121</v>
      </c>
      <c r="J4" s="274" t="s">
        <v>120</v>
      </c>
      <c r="K4" s="276"/>
      <c r="L4" s="242" t="str">
        <f>IF(AD2&lt;&gt;"",'様式Ⅰ　総括申込書'!$C$2,"")</f>
        <v/>
      </c>
      <c r="M4" s="242"/>
      <c r="N4" s="243"/>
      <c r="O4" s="293"/>
      <c r="P4" s="271" t="s">
        <v>125</v>
      </c>
      <c r="Q4" s="238"/>
      <c r="R4" s="272" t="s">
        <v>117</v>
      </c>
      <c r="S4" s="238"/>
      <c r="T4" s="238"/>
      <c r="U4" s="238"/>
      <c r="V4" s="238"/>
      <c r="W4" s="273"/>
      <c r="X4" s="274" t="s">
        <v>121</v>
      </c>
      <c r="Y4" s="274" t="s">
        <v>120</v>
      </c>
      <c r="Z4" s="276"/>
      <c r="AA4" s="242" t="str">
        <f>IF(AE2&lt;&gt;"",'様式Ⅰ　総括申込書'!$C$2,"")</f>
        <v/>
      </c>
      <c r="AB4" s="242"/>
      <c r="AC4" s="243"/>
      <c r="AD4" s="9" t="str">
        <f>IF(AD2&lt;&gt;"",VLOOKUP(A6&amp;AD3,'様式Ⅰ　総括申込書'!$N$37:$X$177,11,FALSE),"")</f>
        <v/>
      </c>
      <c r="AE4" s="9" t="str">
        <f>IF(P6&lt;&gt;"",VLOOKUP(P6&amp;AE3,'様式Ⅰ　総括申込書'!$N$37:$X$177,11,FALSE),"")</f>
        <v/>
      </c>
      <c r="AK4" s="317">
        <v>1</v>
      </c>
      <c r="AL4" s="10"/>
    </row>
    <row r="5" spans="1:43" ht="15.75" thickBot="1">
      <c r="A5" s="249"/>
      <c r="B5" s="248"/>
      <c r="C5" s="279" t="s">
        <v>118</v>
      </c>
      <c r="D5" s="280"/>
      <c r="E5" s="280"/>
      <c r="F5" s="280"/>
      <c r="G5" s="280"/>
      <c r="H5" s="281"/>
      <c r="I5" s="275"/>
      <c r="J5" s="277"/>
      <c r="K5" s="278"/>
      <c r="L5" s="245"/>
      <c r="M5" s="245"/>
      <c r="N5" s="246"/>
      <c r="O5" s="293"/>
      <c r="P5" s="249"/>
      <c r="Q5" s="248"/>
      <c r="R5" s="279" t="s">
        <v>118</v>
      </c>
      <c r="S5" s="280"/>
      <c r="T5" s="280"/>
      <c r="U5" s="280"/>
      <c r="V5" s="280"/>
      <c r="W5" s="281"/>
      <c r="X5" s="275"/>
      <c r="Y5" s="277"/>
      <c r="Z5" s="278"/>
      <c r="AA5" s="245"/>
      <c r="AB5" s="245"/>
      <c r="AC5" s="246"/>
      <c r="AD5" s="9" t="str">
        <f>IF(LEN(SUBSTITUTE(AD4,"/"&amp;C2,""))&gt;0,RIGHT(SUBSTITUTE(AD4,"/"&amp;C2,""),LEN(SUBSTITUTE(AD4,"/"&amp;C2,""))-1),"")</f>
        <v/>
      </c>
      <c r="AE5" s="9" t="str">
        <f>IF(LEN(SUBSTITUTE(AE4,"/"&amp;R2,""))&gt;0,RIGHT(SUBSTITUTE(AE4,"/"&amp;R2,""),LEN(SUBSTITUTE(AE4,"/"&amp;R2,""))-1),"")</f>
        <v/>
      </c>
      <c r="AK5" s="317"/>
      <c r="AL5" s="10"/>
    </row>
    <row r="6" spans="1:43" ht="18.75">
      <c r="A6" s="252" t="str">
        <f>IF(AD2&lt;&gt;"",VLOOKUP(AD2,選手情報!E:W,2,FALSE),"")</f>
        <v/>
      </c>
      <c r="B6" s="253"/>
      <c r="C6" s="290" t="str">
        <f>IF(AD2&lt;&gt;"",VLOOKUP(AD2,選手情報!E:W,5,FALSE),"")</f>
        <v/>
      </c>
      <c r="D6" s="291"/>
      <c r="E6" s="291"/>
      <c r="F6" s="291"/>
      <c r="G6" s="291"/>
      <c r="H6" s="253"/>
      <c r="I6" s="269" t="str">
        <f>IF(AD2&lt;&gt;"",VLOOKUP(AJ2+1,選手情報!E:W,6,FALSE),"")</f>
        <v/>
      </c>
      <c r="J6" s="282" t="s">
        <v>123</v>
      </c>
      <c r="K6" s="283"/>
      <c r="L6" s="288" t="str">
        <f>IF(AD2&lt;&gt;"",VLOOKUP(AD2,選手情報!E:W,8,FALSE),"")</f>
        <v/>
      </c>
      <c r="M6" s="288"/>
      <c r="N6" s="289"/>
      <c r="O6" s="293"/>
      <c r="P6" s="252" t="str">
        <f>IF(AE2&lt;&gt;"",VLOOKUP(AE2,選手情報!E:W,2,FALSE),"")</f>
        <v/>
      </c>
      <c r="Q6" s="253"/>
      <c r="R6" s="290" t="str">
        <f>IF(AE2&lt;&gt;"",VLOOKUP(AE2,選手情報!E:W,5,FALSE),"")</f>
        <v/>
      </c>
      <c r="S6" s="291"/>
      <c r="T6" s="291"/>
      <c r="U6" s="291"/>
      <c r="V6" s="291"/>
      <c r="W6" s="253"/>
      <c r="X6" s="269" t="str">
        <f>IF(AE2&lt;&gt;"",VLOOKUP(AZ2+1,選手情報!E:W,6,FALSE),"")</f>
        <v/>
      </c>
      <c r="Y6" s="282" t="s">
        <v>123</v>
      </c>
      <c r="Z6" s="283"/>
      <c r="AA6" s="288" t="str">
        <f>IF(AE2&lt;&gt;"",VLOOKUP(AE2,選手情報!E:W,8,FALSE),"")</f>
        <v/>
      </c>
      <c r="AB6" s="288"/>
      <c r="AC6" s="289"/>
      <c r="AD6" s="9">
        <f>COUNTIF(リレーチーム情報!$B$5:$B$10,A6&amp;AD3)+COUNTIF(リレーチーム情報!$B$17:$B$22,A6&amp;AD3)</f>
        <v>12</v>
      </c>
      <c r="AE6" s="9">
        <f>COUNTIF(リレーチーム情報!$B$5:$B$10,P6&amp;AE3)+COUNTIF(リレーチーム情報!$B$17:$B$22,P6&amp;AE3)</f>
        <v>12</v>
      </c>
      <c r="AK6" s="317"/>
      <c r="AL6" s="10"/>
    </row>
    <row r="7" spans="1:43">
      <c r="A7" s="254"/>
      <c r="B7" s="255"/>
      <c r="C7" s="259" t="str">
        <f>IF(AD2&lt;&gt;"",VLOOKUP(AD2,選手情報!E:W,4,FALSE),"")</f>
        <v/>
      </c>
      <c r="D7" s="260"/>
      <c r="E7" s="260"/>
      <c r="F7" s="260"/>
      <c r="G7" s="260"/>
      <c r="H7" s="261"/>
      <c r="I7" s="248"/>
      <c r="J7" s="284"/>
      <c r="K7" s="285"/>
      <c r="L7" s="288"/>
      <c r="M7" s="288"/>
      <c r="N7" s="289"/>
      <c r="O7" s="293"/>
      <c r="P7" s="254"/>
      <c r="Q7" s="255"/>
      <c r="R7" s="259" t="str">
        <f>IF(AE2&lt;&gt;"",VLOOKUP(AE2,選手情報!E:W,4,FALSE),"")</f>
        <v/>
      </c>
      <c r="S7" s="260"/>
      <c r="T7" s="260"/>
      <c r="U7" s="260"/>
      <c r="V7" s="260"/>
      <c r="W7" s="261"/>
      <c r="X7" s="248"/>
      <c r="Y7" s="284"/>
      <c r="Z7" s="285"/>
      <c r="AA7" s="288"/>
      <c r="AB7" s="288"/>
      <c r="AC7" s="289"/>
      <c r="AD7" s="9">
        <f>COUNTIF(リレーチーム情報!$B$11:$B$16,A6&amp;AD3)+COUNTIF(リレーチーム情報!$B$23:$B$28,A6&amp;AD3)</f>
        <v>12</v>
      </c>
      <c r="AE7" s="9">
        <f>COUNTIF(リレーチーム情報!$B$11:$B$16,P6&amp;AE3)+COUNTIF(リレーチーム情報!$B$23:$B$28,P6&amp;AE3)</f>
        <v>12</v>
      </c>
      <c r="AL7" s="10"/>
    </row>
    <row r="8" spans="1:43" ht="15.75" thickBot="1">
      <c r="A8" s="256"/>
      <c r="B8" s="257"/>
      <c r="C8" s="262"/>
      <c r="D8" s="245"/>
      <c r="E8" s="245"/>
      <c r="F8" s="245"/>
      <c r="G8" s="245"/>
      <c r="H8" s="257"/>
      <c r="I8" s="240"/>
      <c r="J8" s="286"/>
      <c r="K8" s="287"/>
      <c r="L8" s="245"/>
      <c r="M8" s="245"/>
      <c r="N8" s="246"/>
      <c r="O8" s="293"/>
      <c r="P8" s="256"/>
      <c r="Q8" s="257"/>
      <c r="R8" s="262"/>
      <c r="S8" s="245"/>
      <c r="T8" s="245"/>
      <c r="U8" s="245"/>
      <c r="V8" s="245"/>
      <c r="W8" s="257"/>
      <c r="X8" s="240"/>
      <c r="Y8" s="286"/>
      <c r="Z8" s="287"/>
      <c r="AA8" s="245"/>
      <c r="AB8" s="245"/>
      <c r="AC8" s="246"/>
      <c r="AD8" s="9" t="str">
        <f>IF(AND(AD6=1,AD7=0),"4×100mR",IF(AND(AD6=0,AD7=1),"4×400mR",IF(AND(AD6=1,AD7=1),"4×100mR"&amp;CHAR(13)&amp;CHAR(10)&amp;"4×400mR","")))</f>
        <v/>
      </c>
      <c r="AE8" s="9" t="str">
        <f>IF(AND(AE6=1,AE7=0),"4×100mR",IF(AND(AE6=0,AE7=1),"4×400mR",IF(AND(AE6=1,AE7=1),"4×100mR"&amp;CHAR(13)&amp;CHAR(10)&amp;"4×400mR","")))</f>
        <v/>
      </c>
      <c r="AL8" s="10"/>
    </row>
    <row r="9" spans="1:43" ht="15" customHeight="1">
      <c r="A9" s="247" t="s">
        <v>126</v>
      </c>
      <c r="B9" s="248"/>
      <c r="C9" s="241" t="str">
        <f>IF(AD2&lt;&gt;"",VLOOKUP(AD2,選手情報!E:W,12,FALSE),"")</f>
        <v/>
      </c>
      <c r="D9" s="242"/>
      <c r="E9" s="242"/>
      <c r="F9" s="250" t="s">
        <v>119</v>
      </c>
      <c r="G9" s="242" t="str">
        <f>IF(AD2&lt;&gt;"",IF(VLOOKUP(AD2,選手情報!E:W,13,FALSE)="","",VLOOKUP(AD2,選手情報!E:W,13,FALSE)&amp;TEXT(VLOOKUP(AD2,選手情報!E:W,14,FALSE),"0.0")),"")</f>
        <v/>
      </c>
      <c r="H9" s="258"/>
      <c r="I9" s="248" t="s">
        <v>122</v>
      </c>
      <c r="J9" s="263" t="str">
        <f>IF(AD2&lt;&gt;"",VLOOKUP(AD2,選手情報!E:W,16,FALSE),"")</f>
        <v/>
      </c>
      <c r="K9" s="264"/>
      <c r="L9" s="264"/>
      <c r="M9" s="264"/>
      <c r="N9" s="265"/>
      <c r="O9" s="293"/>
      <c r="P9" s="247" t="s">
        <v>126</v>
      </c>
      <c r="Q9" s="248"/>
      <c r="R9" s="241" t="str">
        <f>IF(AE2&lt;&gt;"",VLOOKUP(AE2,選手情報!E:W,12,FALSE),"")</f>
        <v/>
      </c>
      <c r="S9" s="242"/>
      <c r="T9" s="242"/>
      <c r="U9" s="250" t="s">
        <v>119</v>
      </c>
      <c r="V9" s="242" t="str">
        <f>IF(AE2&lt;&gt;"",IF(VLOOKUP(AE2,選手情報!E:W,13,FALSE)="","",VLOOKUP(AE2,選手情報!E:W,13,FALSE)&amp;TEXT(VLOOKUP(AE2,選手情報!E:W,14,FALSE),"0.0")),"")</f>
        <v/>
      </c>
      <c r="W9" s="258"/>
      <c r="X9" s="248" t="s">
        <v>122</v>
      </c>
      <c r="Y9" s="263" t="str">
        <f>IF(AE2&lt;&gt;"",VLOOKUP(AE2,選手情報!E:W,16,FALSE),"")</f>
        <v/>
      </c>
      <c r="Z9" s="264"/>
      <c r="AA9" s="264"/>
      <c r="AB9" s="264"/>
      <c r="AC9" s="265"/>
      <c r="AL9" s="10"/>
    </row>
    <row r="10" spans="1:43" ht="15.75" customHeight="1" thickBot="1">
      <c r="A10" s="249"/>
      <c r="B10" s="248"/>
      <c r="C10" s="244"/>
      <c r="D10" s="245"/>
      <c r="E10" s="245"/>
      <c r="F10" s="251"/>
      <c r="G10" s="245"/>
      <c r="H10" s="257"/>
      <c r="I10" s="248"/>
      <c r="J10" s="266"/>
      <c r="K10" s="267"/>
      <c r="L10" s="267"/>
      <c r="M10" s="267"/>
      <c r="N10" s="268"/>
      <c r="O10" s="293"/>
      <c r="P10" s="249"/>
      <c r="Q10" s="248"/>
      <c r="R10" s="244"/>
      <c r="S10" s="245"/>
      <c r="T10" s="245"/>
      <c r="U10" s="251"/>
      <c r="V10" s="245"/>
      <c r="W10" s="257"/>
      <c r="X10" s="248"/>
      <c r="Y10" s="266"/>
      <c r="Z10" s="267"/>
      <c r="AA10" s="267"/>
      <c r="AB10" s="267"/>
      <c r="AC10" s="268"/>
      <c r="AL10" s="10"/>
    </row>
    <row r="11" spans="1:43">
      <c r="A11" s="237" t="s">
        <v>127</v>
      </c>
      <c r="B11" s="238"/>
      <c r="C11" s="241" t="str">
        <f>IF(AD2&lt;&gt;"",VLOOKUP(AD2,選手情報!E:W,15,FALSE),"")</f>
        <v/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3"/>
      <c r="O11" s="293"/>
      <c r="P11" s="237" t="s">
        <v>127</v>
      </c>
      <c r="Q11" s="238"/>
      <c r="R11" s="241" t="str">
        <f>IF(AE2&lt;&gt;"",VLOOKUP(AE2,選手情報!E:W,15,FALSE),"")</f>
        <v/>
      </c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3"/>
      <c r="AL11" s="10"/>
    </row>
    <row r="12" spans="1:43" ht="15.75" thickBot="1">
      <c r="A12" s="239"/>
      <c r="B12" s="240"/>
      <c r="C12" s="244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6"/>
      <c r="O12" s="293"/>
      <c r="P12" s="239"/>
      <c r="Q12" s="240"/>
      <c r="R12" s="244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6"/>
      <c r="AL12" s="10"/>
    </row>
    <row r="13" spans="1:43" ht="15" customHeight="1">
      <c r="A13" s="292" t="s">
        <v>115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2" t="s">
        <v>115</v>
      </c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L13" s="10"/>
    </row>
    <row r="14" spans="1:43" ht="15.75" thickBot="1">
      <c r="A14" s="316" t="str">
        <f>設定!$B$1</f>
        <v>第６８回西日本学生陸上競技対校選手権大会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294" t="s">
        <v>114</v>
      </c>
      <c r="N14" s="295"/>
      <c r="O14" s="293"/>
      <c r="P14" s="316" t="str">
        <f>設定!$B$1</f>
        <v>第６８回西日本学生陸上競技対校選手権大会</v>
      </c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294" t="s">
        <v>114</v>
      </c>
      <c r="AC14" s="295"/>
    </row>
    <row r="15" spans="1:43" ht="15.75" customHeight="1" thickTop="1">
      <c r="A15" s="296" t="s">
        <v>124</v>
      </c>
      <c r="B15" s="297"/>
      <c r="C15" s="304" t="str">
        <f>IF(AD15&lt;&gt;"",VLOOKUP(AD15,選手情報!E:W,9,FALSE),"")</f>
        <v/>
      </c>
      <c r="D15" s="305"/>
      <c r="E15" s="305"/>
      <c r="F15" s="306" t="s">
        <v>146</v>
      </c>
      <c r="G15" s="307"/>
      <c r="H15" s="308"/>
      <c r="I15" s="312" t="str">
        <f>IF(AD18&lt;&gt;"",AD18,"")</f>
        <v/>
      </c>
      <c r="J15" s="313"/>
      <c r="K15" s="313"/>
      <c r="L15" s="298" t="s">
        <v>116</v>
      </c>
      <c r="M15" s="300" t="str">
        <f>IF(AD21&lt;&gt;"",AD21,"")</f>
        <v/>
      </c>
      <c r="N15" s="301"/>
      <c r="O15" s="293"/>
      <c r="P15" s="296" t="s">
        <v>124</v>
      </c>
      <c r="Q15" s="297"/>
      <c r="R15" s="304" t="str">
        <f>IF(AE15&lt;&gt;"",VLOOKUP(AE15,選手情報!E:W,9,FALSE),"")</f>
        <v/>
      </c>
      <c r="S15" s="305"/>
      <c r="T15" s="305"/>
      <c r="U15" s="306" t="s">
        <v>146</v>
      </c>
      <c r="V15" s="307"/>
      <c r="W15" s="308"/>
      <c r="X15" s="312" t="str">
        <f>IF(AE18&lt;&gt;"",AE18,"")</f>
        <v/>
      </c>
      <c r="Y15" s="313"/>
      <c r="Z15" s="313"/>
      <c r="AA15" s="298" t="s">
        <v>116</v>
      </c>
      <c r="AB15" s="300" t="str">
        <f>IF(AE21&lt;&gt;"",AE21,"")</f>
        <v/>
      </c>
      <c r="AC15" s="301"/>
      <c r="AD15" s="9" t="str">
        <f>IF(学校情報!$A$4&lt;&gt;"","",IF(COUNTIF(選手情報!E:E,($AK$4-1)*10+3)=1,($AK$4-1)*10+3,""))</f>
        <v/>
      </c>
      <c r="AE15" s="9" t="str">
        <f>IF(学校情報!$A$4&lt;&gt;"","",IF(COUNTIF(選手情報!$E:$E,($AK$4-1)*10+4)=1,($AK$4-1)*10+4,""))</f>
        <v/>
      </c>
      <c r="AL15" s="10"/>
    </row>
    <row r="16" spans="1:43" ht="15.75" customHeight="1" thickBot="1">
      <c r="A16" s="239"/>
      <c r="B16" s="240"/>
      <c r="C16" s="244"/>
      <c r="D16" s="245"/>
      <c r="E16" s="245"/>
      <c r="F16" s="309"/>
      <c r="G16" s="310"/>
      <c r="H16" s="311"/>
      <c r="I16" s="314"/>
      <c r="J16" s="315"/>
      <c r="K16" s="315"/>
      <c r="L16" s="299"/>
      <c r="M16" s="302"/>
      <c r="N16" s="303"/>
      <c r="O16" s="293"/>
      <c r="P16" s="239"/>
      <c r="Q16" s="240"/>
      <c r="R16" s="244"/>
      <c r="S16" s="245"/>
      <c r="T16" s="245"/>
      <c r="U16" s="309"/>
      <c r="V16" s="310"/>
      <c r="W16" s="311"/>
      <c r="X16" s="314"/>
      <c r="Y16" s="315"/>
      <c r="Z16" s="315"/>
      <c r="AA16" s="299"/>
      <c r="AB16" s="302"/>
      <c r="AC16" s="303"/>
      <c r="AD16" s="9" t="str">
        <f>IF(AD15&lt;&gt;"",VLOOKUP(AD15,選手情報!E:W,3,FALSE),"")</f>
        <v/>
      </c>
      <c r="AE16" s="9" t="str">
        <f>IF(AE15&lt;&gt;"",VLOOKUP(AE15,選手情報!E:W,3,FALSE),"")</f>
        <v/>
      </c>
      <c r="AL16" s="10"/>
    </row>
    <row r="17" spans="1:41" ht="15" customHeight="1">
      <c r="A17" s="271" t="s">
        <v>125</v>
      </c>
      <c r="B17" s="238"/>
      <c r="C17" s="272" t="s">
        <v>117</v>
      </c>
      <c r="D17" s="238"/>
      <c r="E17" s="238"/>
      <c r="F17" s="238"/>
      <c r="G17" s="238"/>
      <c r="H17" s="273"/>
      <c r="I17" s="274" t="s">
        <v>121</v>
      </c>
      <c r="J17" s="274" t="s">
        <v>120</v>
      </c>
      <c r="K17" s="276"/>
      <c r="L17" s="242" t="str">
        <f>IF(AD15&lt;&gt;"",'様式Ⅰ　総括申込書'!$C$2,"")</f>
        <v/>
      </c>
      <c r="M17" s="242"/>
      <c r="N17" s="243"/>
      <c r="O17" s="293"/>
      <c r="P17" s="271" t="s">
        <v>125</v>
      </c>
      <c r="Q17" s="238"/>
      <c r="R17" s="272" t="s">
        <v>117</v>
      </c>
      <c r="S17" s="238"/>
      <c r="T17" s="238"/>
      <c r="U17" s="238"/>
      <c r="V17" s="238"/>
      <c r="W17" s="273"/>
      <c r="X17" s="274" t="s">
        <v>121</v>
      </c>
      <c r="Y17" s="274" t="s">
        <v>120</v>
      </c>
      <c r="Z17" s="276"/>
      <c r="AA17" s="242" t="str">
        <f>IF(AE15&lt;&gt;"",'様式Ⅰ　総括申込書'!$C$2,"")</f>
        <v/>
      </c>
      <c r="AB17" s="242"/>
      <c r="AC17" s="243"/>
      <c r="AD17" s="9" t="str">
        <f>IF(AD15&lt;&gt;"",VLOOKUP(A19&amp;AD16,'様式Ⅰ　総括申込書'!$N$37:$X$177,11,FALSE),"")</f>
        <v/>
      </c>
      <c r="AE17" s="9" t="str">
        <f>IF(P19&lt;&gt;"",VLOOKUP(P19&amp;AE16,'様式Ⅰ　総括申込書'!$N$37:$X$177,11,FALSE),"")</f>
        <v/>
      </c>
      <c r="AL17" s="10"/>
    </row>
    <row r="18" spans="1:41" ht="15.75" customHeight="1" thickBot="1">
      <c r="A18" s="249"/>
      <c r="B18" s="248"/>
      <c r="C18" s="279" t="s">
        <v>118</v>
      </c>
      <c r="D18" s="280"/>
      <c r="E18" s="280"/>
      <c r="F18" s="280"/>
      <c r="G18" s="280"/>
      <c r="H18" s="281"/>
      <c r="I18" s="275"/>
      <c r="J18" s="277"/>
      <c r="K18" s="278"/>
      <c r="L18" s="245"/>
      <c r="M18" s="245"/>
      <c r="N18" s="246"/>
      <c r="O18" s="293"/>
      <c r="P18" s="249"/>
      <c r="Q18" s="248"/>
      <c r="R18" s="279" t="s">
        <v>118</v>
      </c>
      <c r="S18" s="280"/>
      <c r="T18" s="280"/>
      <c r="U18" s="280"/>
      <c r="V18" s="280"/>
      <c r="W18" s="281"/>
      <c r="X18" s="275"/>
      <c r="Y18" s="277"/>
      <c r="Z18" s="278"/>
      <c r="AA18" s="245"/>
      <c r="AB18" s="245"/>
      <c r="AC18" s="246"/>
      <c r="AD18" s="9" t="str">
        <f>IF(LEN(SUBSTITUTE(AD17,"/"&amp;C15,""))&gt;0,RIGHT(SUBSTITUTE(AD17,"/"&amp;C15,""),LEN(SUBSTITUTE(AD17,"/"&amp;C15,""))-1),"")</f>
        <v/>
      </c>
      <c r="AE18" s="9" t="str">
        <f>IF(LEN(SUBSTITUTE(AE17,"/"&amp;R15,""))&gt;0,RIGHT(SUBSTITUTE(AE17,"/"&amp;R15,""),LEN(SUBSTITUTE(AE17,"/"&amp;R15,""))-1),"")</f>
        <v/>
      </c>
      <c r="AL18" s="10"/>
      <c r="AO18" s="12"/>
    </row>
    <row r="19" spans="1:41" ht="18.75" customHeight="1">
      <c r="A19" s="252" t="str">
        <f>IF(AD15&lt;&gt;"",VLOOKUP(AD15,選手情報!E:W,2,FALSE),"")</f>
        <v/>
      </c>
      <c r="B19" s="253"/>
      <c r="C19" s="290" t="str">
        <f>IF(AD15&lt;&gt;"",VLOOKUP(AD15,選手情報!E:W,5,FALSE),"")</f>
        <v/>
      </c>
      <c r="D19" s="291"/>
      <c r="E19" s="291"/>
      <c r="F19" s="291"/>
      <c r="G19" s="291"/>
      <c r="H19" s="253"/>
      <c r="I19" s="269" t="str">
        <f>IF(AD15&lt;&gt;"",VLOOKUP(AJ15+1,選手情報!E:W,6,FALSE),"")</f>
        <v/>
      </c>
      <c r="J19" s="282" t="s">
        <v>123</v>
      </c>
      <c r="K19" s="283"/>
      <c r="L19" s="288" t="str">
        <f>IF(AD15&lt;&gt;"",VLOOKUP(AD15,選手情報!E:W,8,FALSE),"")</f>
        <v/>
      </c>
      <c r="M19" s="288"/>
      <c r="N19" s="289"/>
      <c r="O19" s="293"/>
      <c r="P19" s="252" t="str">
        <f>IF(AE15&lt;&gt;"",VLOOKUP(AE15,選手情報!E:W,2,FALSE),"")</f>
        <v/>
      </c>
      <c r="Q19" s="253"/>
      <c r="R19" s="290" t="str">
        <f>IF(AE15&lt;&gt;"",VLOOKUP(AE15,選手情報!E:W,5,FALSE),"")</f>
        <v/>
      </c>
      <c r="S19" s="291"/>
      <c r="T19" s="291"/>
      <c r="U19" s="291"/>
      <c r="V19" s="291"/>
      <c r="W19" s="253"/>
      <c r="X19" s="269" t="str">
        <f>IF(AE15&lt;&gt;"",VLOOKUP(AZ15+1,選手情報!E:W,6,FALSE),"")</f>
        <v/>
      </c>
      <c r="Y19" s="282" t="s">
        <v>123</v>
      </c>
      <c r="Z19" s="283"/>
      <c r="AA19" s="288" t="str">
        <f>IF(AE15&lt;&gt;"",VLOOKUP(AE15,選手情報!E:W,8,FALSE),"")</f>
        <v/>
      </c>
      <c r="AB19" s="288"/>
      <c r="AC19" s="289"/>
      <c r="AD19" s="9">
        <f>COUNTIF(リレーチーム情報!$B$5:$B$10,A19&amp;AD16)+COUNTIF(リレーチーム情報!$B$17:$B$22,A19&amp;AD16)</f>
        <v>12</v>
      </c>
      <c r="AE19" s="9">
        <f>COUNTIF(リレーチーム情報!$B$5:$B$10,P19&amp;AE16)+COUNTIF(リレーチーム情報!$B$17:$B$22,P19&amp;AE16)</f>
        <v>12</v>
      </c>
      <c r="AL19" s="10"/>
      <c r="AN19" s="10"/>
      <c r="AO19" s="12"/>
    </row>
    <row r="20" spans="1:41" ht="15" customHeight="1">
      <c r="A20" s="254"/>
      <c r="B20" s="255"/>
      <c r="C20" s="259" t="str">
        <f>IF(AD15&lt;&gt;"",VLOOKUP(AD15,選手情報!E:W,4,FALSE),"")</f>
        <v/>
      </c>
      <c r="D20" s="260"/>
      <c r="E20" s="260"/>
      <c r="F20" s="260"/>
      <c r="G20" s="260"/>
      <c r="H20" s="261"/>
      <c r="I20" s="248"/>
      <c r="J20" s="284"/>
      <c r="K20" s="285"/>
      <c r="L20" s="288"/>
      <c r="M20" s="288"/>
      <c r="N20" s="289"/>
      <c r="O20" s="293"/>
      <c r="P20" s="254"/>
      <c r="Q20" s="255"/>
      <c r="R20" s="259" t="str">
        <f>IF(AE15&lt;&gt;"",VLOOKUP(AE15,選手情報!E:W,4,FALSE),"")</f>
        <v/>
      </c>
      <c r="S20" s="260"/>
      <c r="T20" s="260"/>
      <c r="U20" s="260"/>
      <c r="V20" s="260"/>
      <c r="W20" s="261"/>
      <c r="X20" s="248"/>
      <c r="Y20" s="284"/>
      <c r="Z20" s="285"/>
      <c r="AA20" s="288"/>
      <c r="AB20" s="288"/>
      <c r="AC20" s="289"/>
      <c r="AD20" s="9">
        <f>COUNTIF(リレーチーム情報!$B$11:$B$16,A19&amp;AD16)+COUNTIF(リレーチーム情報!$B$23:$B$28,A19&amp;AD16)</f>
        <v>12</v>
      </c>
      <c r="AE20" s="9">
        <f>COUNTIF(リレーチーム情報!$B$11:$B$16,P19&amp;AE16)+COUNTIF(リレーチーム情報!$B$23:$B$28,P19&amp;AE16)</f>
        <v>12</v>
      </c>
      <c r="AL20" s="10"/>
      <c r="AN20" s="10"/>
      <c r="AO20" s="12"/>
    </row>
    <row r="21" spans="1:41" ht="15.75" customHeight="1" thickBot="1">
      <c r="A21" s="256"/>
      <c r="B21" s="257"/>
      <c r="C21" s="262"/>
      <c r="D21" s="245"/>
      <c r="E21" s="245"/>
      <c r="F21" s="245"/>
      <c r="G21" s="245"/>
      <c r="H21" s="257"/>
      <c r="I21" s="240"/>
      <c r="J21" s="286"/>
      <c r="K21" s="287"/>
      <c r="L21" s="245"/>
      <c r="M21" s="245"/>
      <c r="N21" s="246"/>
      <c r="O21" s="293"/>
      <c r="P21" s="256"/>
      <c r="Q21" s="257"/>
      <c r="R21" s="262"/>
      <c r="S21" s="245"/>
      <c r="T21" s="245"/>
      <c r="U21" s="245"/>
      <c r="V21" s="245"/>
      <c r="W21" s="257"/>
      <c r="X21" s="240"/>
      <c r="Y21" s="286"/>
      <c r="Z21" s="287"/>
      <c r="AA21" s="245"/>
      <c r="AB21" s="245"/>
      <c r="AC21" s="246"/>
      <c r="AD21" s="9" t="str">
        <f>IF(AND(AD19=1,AD20=0),"4×100mR",IF(AND(AD19=0,AD20=1),"4×400mR",IF(AND(AD19=1,AD20=1),"4×100mR"&amp;CHAR(13)&amp;CHAR(10)&amp;"4×400mR","")))</f>
        <v/>
      </c>
      <c r="AE21" s="9" t="str">
        <f>IF(AND(AE19=1,AE20=0),"4×100mR",IF(AND(AE19=0,AE20=1),"4×400mR",IF(AND(AE19=1,AE20=1),"4×100mR"&amp;CHAR(13)&amp;CHAR(10)&amp;"4×400mR","")))</f>
        <v/>
      </c>
      <c r="AL21" s="10"/>
      <c r="AN21" s="13"/>
      <c r="AO21" s="12"/>
    </row>
    <row r="22" spans="1:41" ht="15" customHeight="1">
      <c r="A22" s="247" t="s">
        <v>126</v>
      </c>
      <c r="B22" s="248"/>
      <c r="C22" s="241" t="str">
        <f>IF(AD15&lt;&gt;"",VLOOKUP(AD15,選手情報!E:W,12,FALSE),"")</f>
        <v/>
      </c>
      <c r="D22" s="242"/>
      <c r="E22" s="242"/>
      <c r="F22" s="250" t="s">
        <v>119</v>
      </c>
      <c r="G22" s="242" t="str">
        <f>IF(AD15&lt;&gt;"",IF(VLOOKUP(AD15,選手情報!E:W,13,FALSE)="","",VLOOKUP(AD15,選手情報!E:W,13,FALSE)&amp;TEXT(VLOOKUP(AD15,選手情報!E:W,14,FALSE),"0.0")),"")</f>
        <v/>
      </c>
      <c r="H22" s="258"/>
      <c r="I22" s="248" t="s">
        <v>122</v>
      </c>
      <c r="J22" s="263" t="str">
        <f>IF(AD15&lt;&gt;"",VLOOKUP(AD15,選手情報!E:W,16,FALSE),"")</f>
        <v/>
      </c>
      <c r="K22" s="264"/>
      <c r="L22" s="264"/>
      <c r="M22" s="264"/>
      <c r="N22" s="265"/>
      <c r="O22" s="293"/>
      <c r="P22" s="247" t="s">
        <v>126</v>
      </c>
      <c r="Q22" s="248"/>
      <c r="R22" s="241" t="str">
        <f>IF(AE15&lt;&gt;"",VLOOKUP(AE15,選手情報!E:W,12,FALSE),"")</f>
        <v/>
      </c>
      <c r="S22" s="242"/>
      <c r="T22" s="242"/>
      <c r="U22" s="250" t="s">
        <v>119</v>
      </c>
      <c r="V22" s="242" t="str">
        <f>IF(AE15&lt;&gt;"",IF(VLOOKUP(AE15,選手情報!E:W,13,FALSE)="","",VLOOKUP(AE15,選手情報!E:W,13,FALSE)&amp;TEXT(VLOOKUP(AE15,選手情報!E:W,14,FALSE),"0.0")),"")</f>
        <v/>
      </c>
      <c r="W22" s="258"/>
      <c r="X22" s="248" t="s">
        <v>122</v>
      </c>
      <c r="Y22" s="263" t="str">
        <f>IF(AE15&lt;&gt;"",VLOOKUP(AE15,選手情報!E:W,16,FALSE),"")</f>
        <v/>
      </c>
      <c r="Z22" s="264"/>
      <c r="AA22" s="264"/>
      <c r="AB22" s="264"/>
      <c r="AC22" s="265"/>
      <c r="AL22" s="10"/>
      <c r="AO22" s="12"/>
    </row>
    <row r="23" spans="1:41" ht="15.75" customHeight="1" thickBot="1">
      <c r="A23" s="249"/>
      <c r="B23" s="248"/>
      <c r="C23" s="244"/>
      <c r="D23" s="245"/>
      <c r="E23" s="245"/>
      <c r="F23" s="251"/>
      <c r="G23" s="245"/>
      <c r="H23" s="257"/>
      <c r="I23" s="248"/>
      <c r="J23" s="266"/>
      <c r="K23" s="267"/>
      <c r="L23" s="267"/>
      <c r="M23" s="267"/>
      <c r="N23" s="268"/>
      <c r="O23" s="293"/>
      <c r="P23" s="249"/>
      <c r="Q23" s="248"/>
      <c r="R23" s="244"/>
      <c r="S23" s="245"/>
      <c r="T23" s="245"/>
      <c r="U23" s="251"/>
      <c r="V23" s="245"/>
      <c r="W23" s="257"/>
      <c r="X23" s="248"/>
      <c r="Y23" s="266"/>
      <c r="Z23" s="267"/>
      <c r="AA23" s="267"/>
      <c r="AB23" s="267"/>
      <c r="AC23" s="268"/>
      <c r="AL23" s="10"/>
    </row>
    <row r="24" spans="1:41" ht="15" customHeight="1">
      <c r="A24" s="237" t="s">
        <v>127</v>
      </c>
      <c r="B24" s="238"/>
      <c r="C24" s="241" t="str">
        <f>IF(AD15&lt;&gt;"",VLOOKUP(AD15,選手情報!E:W,15,FALSE),"")</f>
        <v/>
      </c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3"/>
      <c r="O24" s="293"/>
      <c r="P24" s="237" t="s">
        <v>127</v>
      </c>
      <c r="Q24" s="238"/>
      <c r="R24" s="241" t="str">
        <f>IF(AE15&lt;&gt;"",VLOOKUP(AE15,選手情報!E:W,15,FALSE),"")</f>
        <v/>
      </c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3"/>
      <c r="AL24" s="10"/>
    </row>
    <row r="25" spans="1:41" ht="15.75" customHeight="1" thickBot="1">
      <c r="A25" s="239"/>
      <c r="B25" s="240"/>
      <c r="C25" s="244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6"/>
      <c r="O25" s="293"/>
      <c r="P25" s="239"/>
      <c r="Q25" s="240"/>
      <c r="R25" s="244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6"/>
      <c r="AL25" s="10"/>
    </row>
    <row r="26" spans="1:41" ht="15" customHeight="1">
      <c r="A26" s="292" t="s">
        <v>115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2" t="s">
        <v>115</v>
      </c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L26" s="10"/>
    </row>
    <row r="27" spans="1:41" ht="15.75" thickBot="1">
      <c r="A27" s="316" t="str">
        <f>設定!$B$1</f>
        <v>第６８回西日本学生陸上競技対校選手権大会</v>
      </c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294" t="s">
        <v>114</v>
      </c>
      <c r="N27" s="295"/>
      <c r="O27" s="293"/>
      <c r="P27" s="316" t="str">
        <f>設定!$B$1</f>
        <v>第６８回西日本学生陸上競技対校選手権大会</v>
      </c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294" t="s">
        <v>114</v>
      </c>
      <c r="AC27" s="295"/>
    </row>
    <row r="28" spans="1:41" ht="15.75" customHeight="1" thickTop="1">
      <c r="A28" s="296" t="s">
        <v>124</v>
      </c>
      <c r="B28" s="297"/>
      <c r="C28" s="304" t="str">
        <f>IF(AD28&lt;&gt;"",VLOOKUP(AD28,選手情報!E:W,9,FALSE),"")</f>
        <v/>
      </c>
      <c r="D28" s="305"/>
      <c r="E28" s="305"/>
      <c r="F28" s="306" t="s">
        <v>146</v>
      </c>
      <c r="G28" s="307"/>
      <c r="H28" s="308"/>
      <c r="I28" s="312" t="str">
        <f>IF(AD31&lt;&gt;"",AD31,"")</f>
        <v/>
      </c>
      <c r="J28" s="313"/>
      <c r="K28" s="313"/>
      <c r="L28" s="298" t="s">
        <v>116</v>
      </c>
      <c r="M28" s="300" t="str">
        <f>IF(AD34&lt;&gt;"",AD34,"")</f>
        <v/>
      </c>
      <c r="N28" s="301"/>
      <c r="O28" s="293"/>
      <c r="P28" s="296" t="s">
        <v>124</v>
      </c>
      <c r="Q28" s="297"/>
      <c r="R28" s="304" t="str">
        <f>IF(AE28&lt;&gt;"",VLOOKUP(AE28,選手情報!E:W,9,FALSE),"")</f>
        <v/>
      </c>
      <c r="S28" s="305"/>
      <c r="T28" s="305"/>
      <c r="U28" s="306" t="s">
        <v>146</v>
      </c>
      <c r="V28" s="307"/>
      <c r="W28" s="308"/>
      <c r="X28" s="312" t="str">
        <f>IF(AE31&lt;&gt;"",AE31,"")</f>
        <v/>
      </c>
      <c r="Y28" s="313"/>
      <c r="Z28" s="313"/>
      <c r="AA28" s="298" t="s">
        <v>116</v>
      </c>
      <c r="AB28" s="300" t="str">
        <f>IF(AE34&lt;&gt;"",AE34,"")</f>
        <v/>
      </c>
      <c r="AC28" s="301"/>
      <c r="AD28" s="9" t="str">
        <f>IF(学校情報!$A$4&lt;&gt;"","",IF(COUNTIF(選手情報!E:E,($AK$4-1)*10+5)=1,($AK$4-1)*10+5,""))</f>
        <v/>
      </c>
      <c r="AE28" s="9" t="str">
        <f>IF(学校情報!$A$4&lt;&gt;"","",IF(COUNTIF(選手情報!$E:$E,($AK$4-1)*10+6)=1,($AK$4-1)*10+6,""))</f>
        <v/>
      </c>
      <c r="AL28" s="10"/>
    </row>
    <row r="29" spans="1:41" ht="15.75" customHeight="1" thickBot="1">
      <c r="A29" s="239"/>
      <c r="B29" s="240"/>
      <c r="C29" s="244"/>
      <c r="D29" s="245"/>
      <c r="E29" s="245"/>
      <c r="F29" s="309"/>
      <c r="G29" s="310"/>
      <c r="H29" s="311"/>
      <c r="I29" s="314"/>
      <c r="J29" s="315"/>
      <c r="K29" s="315"/>
      <c r="L29" s="299"/>
      <c r="M29" s="302"/>
      <c r="N29" s="303"/>
      <c r="O29" s="293"/>
      <c r="P29" s="239"/>
      <c r="Q29" s="240"/>
      <c r="R29" s="244"/>
      <c r="S29" s="245"/>
      <c r="T29" s="245"/>
      <c r="U29" s="309"/>
      <c r="V29" s="310"/>
      <c r="W29" s="311"/>
      <c r="X29" s="314"/>
      <c r="Y29" s="315"/>
      <c r="Z29" s="315"/>
      <c r="AA29" s="299"/>
      <c r="AB29" s="302"/>
      <c r="AC29" s="303"/>
      <c r="AD29" s="9" t="str">
        <f>IF(AD28&lt;&gt;"",VLOOKUP(AD28,選手情報!E:W,3,FALSE),"")</f>
        <v/>
      </c>
      <c r="AE29" s="9" t="str">
        <f>IF(AE28&lt;&gt;"",VLOOKUP(AE28,選手情報!E:W,3,FALSE),"")</f>
        <v/>
      </c>
      <c r="AL29" s="10"/>
    </row>
    <row r="30" spans="1:41" ht="15" customHeight="1">
      <c r="A30" s="271" t="s">
        <v>125</v>
      </c>
      <c r="B30" s="238"/>
      <c r="C30" s="272" t="s">
        <v>117</v>
      </c>
      <c r="D30" s="238"/>
      <c r="E30" s="238"/>
      <c r="F30" s="238"/>
      <c r="G30" s="238"/>
      <c r="H30" s="273"/>
      <c r="I30" s="274" t="s">
        <v>121</v>
      </c>
      <c r="J30" s="274" t="s">
        <v>120</v>
      </c>
      <c r="K30" s="276"/>
      <c r="L30" s="242" t="str">
        <f>IF(AD28&lt;&gt;"",'様式Ⅰ　総括申込書'!$C$2,"")</f>
        <v/>
      </c>
      <c r="M30" s="242"/>
      <c r="N30" s="243"/>
      <c r="O30" s="293"/>
      <c r="P30" s="271" t="s">
        <v>125</v>
      </c>
      <c r="Q30" s="238"/>
      <c r="R30" s="272" t="s">
        <v>117</v>
      </c>
      <c r="S30" s="238"/>
      <c r="T30" s="238"/>
      <c r="U30" s="238"/>
      <c r="V30" s="238"/>
      <c r="W30" s="273"/>
      <c r="X30" s="274" t="s">
        <v>121</v>
      </c>
      <c r="Y30" s="274" t="s">
        <v>120</v>
      </c>
      <c r="Z30" s="276"/>
      <c r="AA30" s="242" t="str">
        <f>IF(AE28&lt;&gt;"",'様式Ⅰ　総括申込書'!$C$2,"")</f>
        <v/>
      </c>
      <c r="AB30" s="242"/>
      <c r="AC30" s="243"/>
      <c r="AD30" s="9" t="str">
        <f>IF(AD28&lt;&gt;"",VLOOKUP(A32&amp;AD29,'様式Ⅰ　総括申込書'!$N$37:$X$177,11,FALSE),"")</f>
        <v/>
      </c>
      <c r="AE30" s="9" t="str">
        <f>IF(P32&lt;&gt;"",VLOOKUP(P32&amp;AE29,'様式Ⅰ　総括申込書'!$N$37:$X$177,11,FALSE),"")</f>
        <v/>
      </c>
      <c r="AL30" s="10"/>
    </row>
    <row r="31" spans="1:41" ht="15.75" customHeight="1" thickBot="1">
      <c r="A31" s="249"/>
      <c r="B31" s="248"/>
      <c r="C31" s="279" t="s">
        <v>118</v>
      </c>
      <c r="D31" s="280"/>
      <c r="E31" s="280"/>
      <c r="F31" s="280"/>
      <c r="G31" s="280"/>
      <c r="H31" s="281"/>
      <c r="I31" s="275"/>
      <c r="J31" s="277"/>
      <c r="K31" s="278"/>
      <c r="L31" s="245"/>
      <c r="M31" s="245"/>
      <c r="N31" s="246"/>
      <c r="O31" s="293"/>
      <c r="P31" s="249"/>
      <c r="Q31" s="248"/>
      <c r="R31" s="279" t="s">
        <v>118</v>
      </c>
      <c r="S31" s="280"/>
      <c r="T31" s="280"/>
      <c r="U31" s="280"/>
      <c r="V31" s="280"/>
      <c r="W31" s="281"/>
      <c r="X31" s="275"/>
      <c r="Y31" s="277"/>
      <c r="Z31" s="278"/>
      <c r="AA31" s="245"/>
      <c r="AB31" s="245"/>
      <c r="AC31" s="246"/>
      <c r="AD31" s="9" t="str">
        <f>IF(LEN(SUBSTITUTE(AD30,"/"&amp;C28,""))&gt;0,RIGHT(SUBSTITUTE(AD30,"/"&amp;C28,""),LEN(SUBSTITUTE(AD30,"/"&amp;C28,""))-1),"")</f>
        <v/>
      </c>
      <c r="AE31" s="9" t="str">
        <f>IF(LEN(SUBSTITUTE(AE30,"/"&amp;R28,""))&gt;0,RIGHT(SUBSTITUTE(AE30,"/"&amp;R28,""),LEN(SUBSTITUTE(AE30,"/"&amp;R28,""))-1),"")</f>
        <v/>
      </c>
      <c r="AL31" s="10"/>
    </row>
    <row r="32" spans="1:41" ht="18.75" customHeight="1">
      <c r="A32" s="252" t="str">
        <f>IF(AD28&lt;&gt;"",VLOOKUP(AD28,選手情報!E:W,2,FALSE),"")</f>
        <v/>
      </c>
      <c r="B32" s="253"/>
      <c r="C32" s="290" t="str">
        <f>IF(AD28&lt;&gt;"",VLOOKUP(AD28,選手情報!E:W,5,FALSE),"")</f>
        <v/>
      </c>
      <c r="D32" s="291"/>
      <c r="E32" s="291"/>
      <c r="F32" s="291"/>
      <c r="G32" s="291"/>
      <c r="H32" s="253"/>
      <c r="I32" s="269" t="str">
        <f>IF(AD28&lt;&gt;"",VLOOKUP(AJ28+1,選手情報!E:W,6,FALSE),"")</f>
        <v/>
      </c>
      <c r="J32" s="282" t="s">
        <v>123</v>
      </c>
      <c r="K32" s="283"/>
      <c r="L32" s="288" t="str">
        <f>IF(AD28&lt;&gt;"",VLOOKUP(AD28,選手情報!E:W,8,FALSE),"")</f>
        <v/>
      </c>
      <c r="M32" s="288"/>
      <c r="N32" s="289"/>
      <c r="O32" s="293"/>
      <c r="P32" s="252" t="str">
        <f>IF(AE28&lt;&gt;"",VLOOKUP(AE28,選手情報!E:W,2,FALSE),"")</f>
        <v/>
      </c>
      <c r="Q32" s="253"/>
      <c r="R32" s="290" t="str">
        <f>IF(AE28&lt;&gt;"",VLOOKUP(AE28,選手情報!E:W,5,FALSE),"")</f>
        <v/>
      </c>
      <c r="S32" s="291"/>
      <c r="T32" s="291"/>
      <c r="U32" s="291"/>
      <c r="V32" s="291"/>
      <c r="W32" s="253"/>
      <c r="X32" s="269" t="str">
        <f>IF(AE28&lt;&gt;"",VLOOKUP(AZ28+1,選手情報!E:W,6,FALSE),"")</f>
        <v/>
      </c>
      <c r="Y32" s="282" t="s">
        <v>123</v>
      </c>
      <c r="Z32" s="283"/>
      <c r="AA32" s="288" t="str">
        <f>IF(AE28&lt;&gt;"",VLOOKUP(AE28,選手情報!E:W,8,FALSE),"")</f>
        <v/>
      </c>
      <c r="AB32" s="288"/>
      <c r="AC32" s="289"/>
      <c r="AD32" s="9">
        <f>COUNTIF(リレーチーム情報!$B$5:$B$10,A32&amp;AD29)+COUNTIF(リレーチーム情報!$B$17:$B$22,A32&amp;AD29)</f>
        <v>12</v>
      </c>
      <c r="AE32" s="9">
        <f>COUNTIF(リレーチーム情報!$B$5:$B$10,P32&amp;AE29)+COUNTIF(リレーチーム情報!$B$17:$B$22,P32&amp;AE29)</f>
        <v>12</v>
      </c>
      <c r="AL32" s="10"/>
    </row>
    <row r="33" spans="1:38" ht="15" customHeight="1">
      <c r="A33" s="254"/>
      <c r="B33" s="255"/>
      <c r="C33" s="259" t="str">
        <f>IF(AD28&lt;&gt;"",VLOOKUP(AD28,選手情報!E:W,4,FALSE),"")</f>
        <v/>
      </c>
      <c r="D33" s="260"/>
      <c r="E33" s="260"/>
      <c r="F33" s="260"/>
      <c r="G33" s="260"/>
      <c r="H33" s="261"/>
      <c r="I33" s="248"/>
      <c r="J33" s="284"/>
      <c r="K33" s="285"/>
      <c r="L33" s="288"/>
      <c r="M33" s="288"/>
      <c r="N33" s="289"/>
      <c r="O33" s="293"/>
      <c r="P33" s="254"/>
      <c r="Q33" s="255"/>
      <c r="R33" s="259" t="str">
        <f>IF(AE28&lt;&gt;"",VLOOKUP(AE28,選手情報!E:W,4,FALSE),"")</f>
        <v/>
      </c>
      <c r="S33" s="260"/>
      <c r="T33" s="260"/>
      <c r="U33" s="260"/>
      <c r="V33" s="260"/>
      <c r="W33" s="261"/>
      <c r="X33" s="248"/>
      <c r="Y33" s="284"/>
      <c r="Z33" s="285"/>
      <c r="AA33" s="288"/>
      <c r="AB33" s="288"/>
      <c r="AC33" s="289"/>
      <c r="AD33" s="9">
        <f>COUNTIF(リレーチーム情報!$B$11:$B$16,A32&amp;AD29)+COUNTIF(リレーチーム情報!$B$23:$B$28,A32&amp;AD29)</f>
        <v>12</v>
      </c>
      <c r="AE33" s="9">
        <f>COUNTIF(リレーチーム情報!$B$11:$B$16,P32&amp;AE29)+COUNTIF(リレーチーム情報!$B$23:$B$28,P32&amp;AE29)</f>
        <v>12</v>
      </c>
      <c r="AL33" s="10"/>
    </row>
    <row r="34" spans="1:38" ht="15.75" customHeight="1" thickBot="1">
      <c r="A34" s="256"/>
      <c r="B34" s="257"/>
      <c r="C34" s="262"/>
      <c r="D34" s="245"/>
      <c r="E34" s="245"/>
      <c r="F34" s="245"/>
      <c r="G34" s="245"/>
      <c r="H34" s="257"/>
      <c r="I34" s="240"/>
      <c r="J34" s="286"/>
      <c r="K34" s="287"/>
      <c r="L34" s="245"/>
      <c r="M34" s="245"/>
      <c r="N34" s="246"/>
      <c r="O34" s="293"/>
      <c r="P34" s="256"/>
      <c r="Q34" s="257"/>
      <c r="R34" s="262"/>
      <c r="S34" s="245"/>
      <c r="T34" s="245"/>
      <c r="U34" s="245"/>
      <c r="V34" s="245"/>
      <c r="W34" s="257"/>
      <c r="X34" s="240"/>
      <c r="Y34" s="286"/>
      <c r="Z34" s="287"/>
      <c r="AA34" s="245"/>
      <c r="AB34" s="245"/>
      <c r="AC34" s="246"/>
      <c r="AD34" s="9" t="str">
        <f>IF(AND(AD32=1,AD33=0),"4×100mR",IF(AND(AD32=0,AD33=1),"4×400mR",IF(AND(AD32=1,AD33=1),"4×100mR"&amp;CHAR(13)&amp;CHAR(10)&amp;"4×400mR","")))</f>
        <v/>
      </c>
      <c r="AE34" s="9" t="str">
        <f>IF(AND(AE32=1,AE33=0),"4×100mR",IF(AND(AE32=0,AE33=1),"4×400mR",IF(AND(AE32=1,AE33=1),"4×100mR"&amp;CHAR(13)&amp;CHAR(10)&amp;"4×400mR","")))</f>
        <v/>
      </c>
      <c r="AL34" s="10"/>
    </row>
    <row r="35" spans="1:38" ht="15" customHeight="1">
      <c r="A35" s="247" t="s">
        <v>126</v>
      </c>
      <c r="B35" s="248"/>
      <c r="C35" s="241" t="str">
        <f>IF(AD28&lt;&gt;"",VLOOKUP(AD28,選手情報!E:W,12,FALSE),"")</f>
        <v/>
      </c>
      <c r="D35" s="242"/>
      <c r="E35" s="242"/>
      <c r="F35" s="250" t="s">
        <v>119</v>
      </c>
      <c r="G35" s="242" t="str">
        <f>IF(AD28&lt;&gt;"",IF(VLOOKUP(AD28,選手情報!E:W,13,FALSE)="","",VLOOKUP(AD28,選手情報!E:W,13,FALSE)&amp;TEXT(VLOOKUP(AD28,選手情報!E:W,14,FALSE),"0.0")),"")</f>
        <v/>
      </c>
      <c r="H35" s="258"/>
      <c r="I35" s="248" t="s">
        <v>122</v>
      </c>
      <c r="J35" s="263" t="str">
        <f>IF(AD28&lt;&gt;"",VLOOKUP(AD28,選手情報!E:W,16,FALSE),"")</f>
        <v/>
      </c>
      <c r="K35" s="264"/>
      <c r="L35" s="264"/>
      <c r="M35" s="264"/>
      <c r="N35" s="265"/>
      <c r="O35" s="293"/>
      <c r="P35" s="247" t="s">
        <v>126</v>
      </c>
      <c r="Q35" s="248"/>
      <c r="R35" s="241" t="str">
        <f>IF(AE28&lt;&gt;"",VLOOKUP(AE28,選手情報!E:W,12,FALSE),"")</f>
        <v/>
      </c>
      <c r="S35" s="242"/>
      <c r="T35" s="242"/>
      <c r="U35" s="250" t="s">
        <v>119</v>
      </c>
      <c r="V35" s="242" t="str">
        <f>IF(AE28&lt;&gt;"",IF(VLOOKUP(AE28,選手情報!E:W,13,FALSE)="","",VLOOKUP(AE28,選手情報!E:W,13,FALSE)&amp;TEXT(VLOOKUP(AE28,選手情報!E:W,14,FALSE),"0.0")),"")</f>
        <v/>
      </c>
      <c r="W35" s="258"/>
      <c r="X35" s="248" t="s">
        <v>122</v>
      </c>
      <c r="Y35" s="263" t="str">
        <f>IF(AE28&lt;&gt;"",VLOOKUP(AE28,選手情報!E:W,16,FALSE),"")</f>
        <v/>
      </c>
      <c r="Z35" s="264"/>
      <c r="AA35" s="264"/>
      <c r="AB35" s="264"/>
      <c r="AC35" s="265"/>
      <c r="AL35" s="10"/>
    </row>
    <row r="36" spans="1:38" ht="15.75" customHeight="1" thickBot="1">
      <c r="A36" s="249"/>
      <c r="B36" s="248"/>
      <c r="C36" s="244"/>
      <c r="D36" s="245"/>
      <c r="E36" s="245"/>
      <c r="F36" s="251"/>
      <c r="G36" s="245"/>
      <c r="H36" s="257"/>
      <c r="I36" s="248"/>
      <c r="J36" s="266"/>
      <c r="K36" s="267"/>
      <c r="L36" s="267"/>
      <c r="M36" s="267"/>
      <c r="N36" s="268"/>
      <c r="O36" s="293"/>
      <c r="P36" s="249"/>
      <c r="Q36" s="248"/>
      <c r="R36" s="244"/>
      <c r="S36" s="245"/>
      <c r="T36" s="245"/>
      <c r="U36" s="251"/>
      <c r="V36" s="245"/>
      <c r="W36" s="257"/>
      <c r="X36" s="248"/>
      <c r="Y36" s="266"/>
      <c r="Z36" s="267"/>
      <c r="AA36" s="267"/>
      <c r="AB36" s="267"/>
      <c r="AC36" s="268"/>
      <c r="AL36" s="10"/>
    </row>
    <row r="37" spans="1:38" ht="15" customHeight="1">
      <c r="A37" s="237" t="s">
        <v>127</v>
      </c>
      <c r="B37" s="238"/>
      <c r="C37" s="241" t="str">
        <f>IF(AD28&lt;&gt;"",VLOOKUP(AD28,選手情報!E:W,15,FALSE),"")</f>
        <v/>
      </c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3"/>
      <c r="O37" s="293"/>
      <c r="P37" s="237" t="s">
        <v>127</v>
      </c>
      <c r="Q37" s="238"/>
      <c r="R37" s="241" t="str">
        <f>IF(AE28&lt;&gt;"",VLOOKUP(AE28,選手情報!E:W,15,FALSE),"")</f>
        <v/>
      </c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3"/>
    </row>
    <row r="38" spans="1:38" ht="15.75" customHeight="1" thickBot="1">
      <c r="A38" s="239"/>
      <c r="B38" s="240"/>
      <c r="C38" s="244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6"/>
      <c r="O38" s="293"/>
      <c r="P38" s="239"/>
      <c r="Q38" s="240"/>
      <c r="R38" s="244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6"/>
    </row>
    <row r="39" spans="1:38" ht="15" customHeight="1">
      <c r="A39" s="292" t="s">
        <v>115</v>
      </c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2" t="s">
        <v>115</v>
      </c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L39" s="10"/>
    </row>
    <row r="40" spans="1:38" ht="15.75" thickBot="1">
      <c r="A40" s="316" t="str">
        <f>設定!$B$1</f>
        <v>第６８回西日本学生陸上競技対校選手権大会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294" t="s">
        <v>114</v>
      </c>
      <c r="N40" s="295"/>
      <c r="O40" s="293"/>
      <c r="P40" s="316" t="str">
        <f>設定!$B$1</f>
        <v>第６８回西日本学生陸上競技対校選手権大会</v>
      </c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294" t="s">
        <v>114</v>
      </c>
      <c r="AC40" s="295"/>
    </row>
    <row r="41" spans="1:38" ht="15.75" customHeight="1" thickTop="1">
      <c r="A41" s="296" t="s">
        <v>124</v>
      </c>
      <c r="B41" s="297"/>
      <c r="C41" s="304" t="str">
        <f>IF(AD41&lt;&gt;"",VLOOKUP(AD41,選手情報!E:W,9,FALSE),"")</f>
        <v/>
      </c>
      <c r="D41" s="305"/>
      <c r="E41" s="305"/>
      <c r="F41" s="306" t="s">
        <v>146</v>
      </c>
      <c r="G41" s="307"/>
      <c r="H41" s="308"/>
      <c r="I41" s="312" t="str">
        <f>IF(AD44&lt;&gt;"",AD44,"")</f>
        <v/>
      </c>
      <c r="J41" s="313"/>
      <c r="K41" s="313"/>
      <c r="L41" s="298" t="s">
        <v>116</v>
      </c>
      <c r="M41" s="300" t="str">
        <f>IF(AD47&lt;&gt;"",AD47,"")</f>
        <v/>
      </c>
      <c r="N41" s="301"/>
      <c r="O41" s="293"/>
      <c r="P41" s="296" t="s">
        <v>124</v>
      </c>
      <c r="Q41" s="297"/>
      <c r="R41" s="304" t="str">
        <f>IF(AE41&lt;&gt;"",VLOOKUP(AE41,選手情報!E:W,9,FALSE),"")</f>
        <v/>
      </c>
      <c r="S41" s="305"/>
      <c r="T41" s="305"/>
      <c r="U41" s="306" t="s">
        <v>146</v>
      </c>
      <c r="V41" s="307"/>
      <c r="W41" s="308"/>
      <c r="X41" s="312" t="str">
        <f>IF(AE44&lt;&gt;"",AE44,"")</f>
        <v/>
      </c>
      <c r="Y41" s="313"/>
      <c r="Z41" s="313"/>
      <c r="AA41" s="298" t="s">
        <v>116</v>
      </c>
      <c r="AB41" s="300" t="str">
        <f>IF(AE47&lt;&gt;"",AE47,"")</f>
        <v/>
      </c>
      <c r="AC41" s="301"/>
      <c r="AD41" s="9" t="str">
        <f>IF(学校情報!$A$4&lt;&gt;"","",IF(COUNTIF(選手情報!E:E,($AK$4-1)*10+7)=1,($AK$4-1)*10+7,""))</f>
        <v/>
      </c>
      <c r="AE41" s="9" t="str">
        <f>IF(学校情報!$A$4&lt;&gt;"","",IF(COUNTIF(選手情報!$E:$E,($AK$4-1)*10+8)=1,($AK$4-1)*10+8,""))</f>
        <v/>
      </c>
      <c r="AL41" s="10"/>
    </row>
    <row r="42" spans="1:38" ht="15.75" customHeight="1" thickBot="1">
      <c r="A42" s="239"/>
      <c r="B42" s="240"/>
      <c r="C42" s="244"/>
      <c r="D42" s="245"/>
      <c r="E42" s="245"/>
      <c r="F42" s="309"/>
      <c r="G42" s="310"/>
      <c r="H42" s="311"/>
      <c r="I42" s="314"/>
      <c r="J42" s="315"/>
      <c r="K42" s="315"/>
      <c r="L42" s="299"/>
      <c r="M42" s="302"/>
      <c r="N42" s="303"/>
      <c r="O42" s="293"/>
      <c r="P42" s="239"/>
      <c r="Q42" s="240"/>
      <c r="R42" s="244"/>
      <c r="S42" s="245"/>
      <c r="T42" s="245"/>
      <c r="U42" s="309"/>
      <c r="V42" s="310"/>
      <c r="W42" s="311"/>
      <c r="X42" s="314"/>
      <c r="Y42" s="315"/>
      <c r="Z42" s="315"/>
      <c r="AA42" s="299"/>
      <c r="AB42" s="302"/>
      <c r="AC42" s="303"/>
      <c r="AD42" s="9" t="str">
        <f>IF(AD41&lt;&gt;"",VLOOKUP(AD41,選手情報!E:W,3,FALSE),"")</f>
        <v/>
      </c>
      <c r="AE42" s="9" t="str">
        <f>IF(AE41&lt;&gt;"",VLOOKUP(AE41,選手情報!E:W,3,FALSE),"")</f>
        <v/>
      </c>
      <c r="AL42" s="10"/>
    </row>
    <row r="43" spans="1:38" ht="15" customHeight="1">
      <c r="A43" s="271" t="s">
        <v>125</v>
      </c>
      <c r="B43" s="238"/>
      <c r="C43" s="272" t="s">
        <v>117</v>
      </c>
      <c r="D43" s="238"/>
      <c r="E43" s="238"/>
      <c r="F43" s="238"/>
      <c r="G43" s="238"/>
      <c r="H43" s="273"/>
      <c r="I43" s="274" t="s">
        <v>121</v>
      </c>
      <c r="J43" s="274" t="s">
        <v>120</v>
      </c>
      <c r="K43" s="276"/>
      <c r="L43" s="242" t="str">
        <f>IF(AD41&lt;&gt;"",'様式Ⅰ　総括申込書'!$C$2,"")</f>
        <v/>
      </c>
      <c r="M43" s="242"/>
      <c r="N43" s="243"/>
      <c r="O43" s="293"/>
      <c r="P43" s="271" t="s">
        <v>125</v>
      </c>
      <c r="Q43" s="238"/>
      <c r="R43" s="272" t="s">
        <v>117</v>
      </c>
      <c r="S43" s="238"/>
      <c r="T43" s="238"/>
      <c r="U43" s="238"/>
      <c r="V43" s="238"/>
      <c r="W43" s="273"/>
      <c r="X43" s="274" t="s">
        <v>121</v>
      </c>
      <c r="Y43" s="274" t="s">
        <v>120</v>
      </c>
      <c r="Z43" s="276"/>
      <c r="AA43" s="242" t="str">
        <f>IF(AE41&lt;&gt;"",'様式Ⅰ　総括申込書'!$C$2,"")</f>
        <v/>
      </c>
      <c r="AB43" s="242"/>
      <c r="AC43" s="243"/>
      <c r="AD43" s="9" t="str">
        <f>IF(AD41&lt;&gt;"",VLOOKUP(A45&amp;AD42,'様式Ⅰ　総括申込書'!$N$37:$X$177,11,FALSE),"")</f>
        <v/>
      </c>
      <c r="AE43" s="9" t="str">
        <f>IF(P45&lt;&gt;"",VLOOKUP(P45&amp;AE42,'様式Ⅰ　総括申込書'!$N$37:$X$177,11,FALSE),"")</f>
        <v/>
      </c>
      <c r="AL43" s="10"/>
    </row>
    <row r="44" spans="1:38" ht="15.75" customHeight="1" thickBot="1">
      <c r="A44" s="249"/>
      <c r="B44" s="248"/>
      <c r="C44" s="279" t="s">
        <v>118</v>
      </c>
      <c r="D44" s="280"/>
      <c r="E44" s="280"/>
      <c r="F44" s="280"/>
      <c r="G44" s="280"/>
      <c r="H44" s="281"/>
      <c r="I44" s="275"/>
      <c r="J44" s="277"/>
      <c r="K44" s="278"/>
      <c r="L44" s="245"/>
      <c r="M44" s="245"/>
      <c r="N44" s="246"/>
      <c r="O44" s="293"/>
      <c r="P44" s="249"/>
      <c r="Q44" s="248"/>
      <c r="R44" s="279" t="s">
        <v>118</v>
      </c>
      <c r="S44" s="280"/>
      <c r="T44" s="280"/>
      <c r="U44" s="280"/>
      <c r="V44" s="280"/>
      <c r="W44" s="281"/>
      <c r="X44" s="275"/>
      <c r="Y44" s="277"/>
      <c r="Z44" s="278"/>
      <c r="AA44" s="245"/>
      <c r="AB44" s="245"/>
      <c r="AC44" s="246"/>
      <c r="AD44" s="9" t="str">
        <f>IF(LEN(SUBSTITUTE(AD43,"/"&amp;C41,""))&gt;0,RIGHT(SUBSTITUTE(AD43,"/"&amp;C41,""),LEN(SUBSTITUTE(AD43,"/"&amp;C41,""))-1),"")</f>
        <v/>
      </c>
      <c r="AE44" s="9" t="str">
        <f>IF(LEN(SUBSTITUTE(AE43,"/"&amp;R41,""))&gt;0,RIGHT(SUBSTITUTE(AE43,"/"&amp;R41,""),LEN(SUBSTITUTE(AE43,"/"&amp;R41,""))-1),"")</f>
        <v/>
      </c>
      <c r="AL44" s="10"/>
    </row>
    <row r="45" spans="1:38" ht="18.75" customHeight="1">
      <c r="A45" s="252" t="str">
        <f>IF(AD41&lt;&gt;"",VLOOKUP(AD41,選手情報!E:W,2,FALSE),"")</f>
        <v/>
      </c>
      <c r="B45" s="253"/>
      <c r="C45" s="290" t="str">
        <f>IF(AD41&lt;&gt;"",VLOOKUP(AD41,選手情報!E:W,5,FALSE),"")</f>
        <v/>
      </c>
      <c r="D45" s="291"/>
      <c r="E45" s="291"/>
      <c r="F45" s="291"/>
      <c r="G45" s="291"/>
      <c r="H45" s="253"/>
      <c r="I45" s="269" t="str">
        <f>IF(AD41&lt;&gt;"",VLOOKUP(AJ41+1,選手情報!E:W,6,FALSE),"")</f>
        <v/>
      </c>
      <c r="J45" s="282" t="s">
        <v>123</v>
      </c>
      <c r="K45" s="283"/>
      <c r="L45" s="288" t="str">
        <f>IF(AD41&lt;&gt;"",VLOOKUP(AD41,選手情報!E:W,8,FALSE),"")</f>
        <v/>
      </c>
      <c r="M45" s="288"/>
      <c r="N45" s="289"/>
      <c r="O45" s="293"/>
      <c r="P45" s="252" t="str">
        <f>IF(AE41&lt;&gt;"",VLOOKUP(AE41,選手情報!E:W,2,FALSE),"")</f>
        <v/>
      </c>
      <c r="Q45" s="253"/>
      <c r="R45" s="290" t="str">
        <f>IF(AE41&lt;&gt;"",VLOOKUP(AE41,選手情報!E:W,5,FALSE),"")</f>
        <v/>
      </c>
      <c r="S45" s="291"/>
      <c r="T45" s="291"/>
      <c r="U45" s="291"/>
      <c r="V45" s="291"/>
      <c r="W45" s="253"/>
      <c r="X45" s="269" t="str">
        <f>IF(AE41&lt;&gt;"",VLOOKUP(AZ41+1,選手情報!E:W,6,FALSE),"")</f>
        <v/>
      </c>
      <c r="Y45" s="282" t="s">
        <v>123</v>
      </c>
      <c r="Z45" s="283"/>
      <c r="AA45" s="288" t="str">
        <f>IF(AE41&lt;&gt;"",VLOOKUP(AE41,選手情報!E:W,8,FALSE),"")</f>
        <v/>
      </c>
      <c r="AB45" s="288"/>
      <c r="AC45" s="289"/>
      <c r="AD45" s="9">
        <f>COUNTIF(リレーチーム情報!$B$5:$B$10,A45&amp;AD42)+COUNTIF(リレーチーム情報!$B$17:$B$22,A45&amp;AD42)</f>
        <v>12</v>
      </c>
      <c r="AE45" s="9">
        <f>COUNTIF(リレーチーム情報!$B$5:$B$10,P45&amp;AE42)+COUNTIF(リレーチーム情報!$B$17:$B$22,P45&amp;AE42)</f>
        <v>12</v>
      </c>
      <c r="AL45" s="10"/>
    </row>
    <row r="46" spans="1:38" ht="15" customHeight="1">
      <c r="A46" s="254"/>
      <c r="B46" s="255"/>
      <c r="C46" s="259" t="str">
        <f>IF(AD41&lt;&gt;"",VLOOKUP(AD41,選手情報!E:W,4,FALSE),"")</f>
        <v/>
      </c>
      <c r="D46" s="260"/>
      <c r="E46" s="260"/>
      <c r="F46" s="260"/>
      <c r="G46" s="260"/>
      <c r="H46" s="261"/>
      <c r="I46" s="248"/>
      <c r="J46" s="284"/>
      <c r="K46" s="285"/>
      <c r="L46" s="288"/>
      <c r="M46" s="288"/>
      <c r="N46" s="289"/>
      <c r="O46" s="293"/>
      <c r="P46" s="254"/>
      <c r="Q46" s="255"/>
      <c r="R46" s="259" t="str">
        <f>IF(AE41&lt;&gt;"",VLOOKUP(AE41,選手情報!E:W,4,FALSE),"")</f>
        <v/>
      </c>
      <c r="S46" s="260"/>
      <c r="T46" s="260"/>
      <c r="U46" s="260"/>
      <c r="V46" s="260"/>
      <c r="W46" s="261"/>
      <c r="X46" s="248"/>
      <c r="Y46" s="284"/>
      <c r="Z46" s="285"/>
      <c r="AA46" s="288"/>
      <c r="AB46" s="288"/>
      <c r="AC46" s="289"/>
      <c r="AD46" s="9">
        <f>COUNTIF(リレーチーム情報!$B$11:$B$16,A45&amp;AD42)+COUNTIF(リレーチーム情報!$B$23:$B$28,A45&amp;AD42)</f>
        <v>12</v>
      </c>
      <c r="AE46" s="9">
        <f>COUNTIF(リレーチーム情報!$B$11:$B$16,P45&amp;AE42)+COUNTIF(リレーチーム情報!$B$23:$B$28,P45&amp;AE42)</f>
        <v>12</v>
      </c>
      <c r="AL46" s="10"/>
    </row>
    <row r="47" spans="1:38" ht="15.75" customHeight="1" thickBot="1">
      <c r="A47" s="256"/>
      <c r="B47" s="257"/>
      <c r="C47" s="262"/>
      <c r="D47" s="245"/>
      <c r="E47" s="245"/>
      <c r="F47" s="245"/>
      <c r="G47" s="245"/>
      <c r="H47" s="257"/>
      <c r="I47" s="240"/>
      <c r="J47" s="286"/>
      <c r="K47" s="287"/>
      <c r="L47" s="245"/>
      <c r="M47" s="245"/>
      <c r="N47" s="246"/>
      <c r="O47" s="293"/>
      <c r="P47" s="256"/>
      <c r="Q47" s="257"/>
      <c r="R47" s="262"/>
      <c r="S47" s="245"/>
      <c r="T47" s="245"/>
      <c r="U47" s="245"/>
      <c r="V47" s="245"/>
      <c r="W47" s="257"/>
      <c r="X47" s="240"/>
      <c r="Y47" s="286"/>
      <c r="Z47" s="287"/>
      <c r="AA47" s="245"/>
      <c r="AB47" s="245"/>
      <c r="AC47" s="246"/>
      <c r="AD47" s="9" t="str">
        <f>IF(AND(AD45=1,AD46=0),"4×100mR",IF(AND(AD45=0,AD46=1),"4×400mR",IF(AND(AD45=1,AD46=1),"4×100mR"&amp;CHAR(13)&amp;CHAR(10)&amp;"4×400mR","")))</f>
        <v/>
      </c>
      <c r="AE47" s="9" t="str">
        <f>IF(AND(AE45=1,AE46=0),"4×100mR",IF(AND(AE45=0,AE46=1),"4×400mR",IF(AND(AE45=1,AE46=1),"4×100mR"&amp;CHAR(13)&amp;CHAR(10)&amp;"4×400mR","")))</f>
        <v/>
      </c>
      <c r="AL47" s="10"/>
    </row>
    <row r="48" spans="1:38" ht="15" customHeight="1">
      <c r="A48" s="247" t="s">
        <v>126</v>
      </c>
      <c r="B48" s="248"/>
      <c r="C48" s="241" t="str">
        <f>IF(AD41&lt;&gt;"",VLOOKUP(AD41,選手情報!E:W,12,FALSE),"")</f>
        <v/>
      </c>
      <c r="D48" s="242"/>
      <c r="E48" s="242"/>
      <c r="F48" s="250" t="s">
        <v>119</v>
      </c>
      <c r="G48" s="242" t="str">
        <f>IF(AD41&lt;&gt;"",IF(VLOOKUP(AD41,選手情報!E:W,13,FALSE)="","",VLOOKUP(AD41,選手情報!E:W,13,FALSE)&amp;TEXT(VLOOKUP(AD41,選手情報!E:W,14,FALSE),"0.0")),"")</f>
        <v/>
      </c>
      <c r="H48" s="258"/>
      <c r="I48" s="248" t="s">
        <v>122</v>
      </c>
      <c r="J48" s="263" t="str">
        <f>IF(AD41&lt;&gt;"",VLOOKUP(AD41,選手情報!E:W,16,FALSE),"")</f>
        <v/>
      </c>
      <c r="K48" s="264"/>
      <c r="L48" s="264"/>
      <c r="M48" s="264"/>
      <c r="N48" s="265"/>
      <c r="O48" s="293"/>
      <c r="P48" s="247" t="s">
        <v>126</v>
      </c>
      <c r="Q48" s="248"/>
      <c r="R48" s="241" t="str">
        <f>IF(AE41&lt;&gt;"",VLOOKUP(AE41,選手情報!E:W,12,FALSE),"")</f>
        <v/>
      </c>
      <c r="S48" s="242"/>
      <c r="T48" s="242"/>
      <c r="U48" s="250" t="s">
        <v>119</v>
      </c>
      <c r="V48" s="242" t="str">
        <f>IF(AE41&lt;&gt;"",IF(VLOOKUP(AE41,選手情報!E:W,13,FALSE)="","",VLOOKUP(AE41,選手情報!E:W,13,FALSE)&amp;TEXT(VLOOKUP(AE41,選手情報!E:W,14,FALSE),"0.0")),"")</f>
        <v/>
      </c>
      <c r="W48" s="258"/>
      <c r="X48" s="248" t="s">
        <v>122</v>
      </c>
      <c r="Y48" s="263" t="str">
        <f>IF(AE41&lt;&gt;"",VLOOKUP(AE41,選手情報!E:W,16,FALSE),"")</f>
        <v/>
      </c>
      <c r="Z48" s="264"/>
      <c r="AA48" s="264"/>
      <c r="AB48" s="264"/>
      <c r="AC48" s="265"/>
      <c r="AL48" s="10"/>
    </row>
    <row r="49" spans="1:38" ht="15.75" customHeight="1" thickBot="1">
      <c r="A49" s="249"/>
      <c r="B49" s="248"/>
      <c r="C49" s="244"/>
      <c r="D49" s="245"/>
      <c r="E49" s="245"/>
      <c r="F49" s="251"/>
      <c r="G49" s="245"/>
      <c r="H49" s="257"/>
      <c r="I49" s="248"/>
      <c r="J49" s="266"/>
      <c r="K49" s="267"/>
      <c r="L49" s="267"/>
      <c r="M49" s="267"/>
      <c r="N49" s="268"/>
      <c r="O49" s="293"/>
      <c r="P49" s="249"/>
      <c r="Q49" s="248"/>
      <c r="R49" s="244"/>
      <c r="S49" s="245"/>
      <c r="T49" s="245"/>
      <c r="U49" s="251"/>
      <c r="V49" s="245"/>
      <c r="W49" s="257"/>
      <c r="X49" s="248"/>
      <c r="Y49" s="266"/>
      <c r="Z49" s="267"/>
      <c r="AA49" s="267"/>
      <c r="AB49" s="267"/>
      <c r="AC49" s="268"/>
      <c r="AL49" s="10"/>
    </row>
    <row r="50" spans="1:38" ht="15" customHeight="1">
      <c r="A50" s="237" t="s">
        <v>127</v>
      </c>
      <c r="B50" s="238"/>
      <c r="C50" s="241" t="str">
        <f>IF(AD41&lt;&gt;"",VLOOKUP(AD41,選手情報!E:W,15,FALSE),"")</f>
        <v/>
      </c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3"/>
      <c r="O50" s="293"/>
      <c r="P50" s="237" t="s">
        <v>127</v>
      </c>
      <c r="Q50" s="238"/>
      <c r="R50" s="241" t="str">
        <f>IF(AE41&lt;&gt;"",VLOOKUP(AE41,選手情報!E:W,15,FALSE),"")</f>
        <v/>
      </c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3"/>
    </row>
    <row r="51" spans="1:38" ht="15.75" customHeight="1" thickBot="1">
      <c r="A51" s="239"/>
      <c r="B51" s="240"/>
      <c r="C51" s="244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6"/>
      <c r="O51" s="293"/>
      <c r="P51" s="239"/>
      <c r="Q51" s="240"/>
      <c r="R51" s="244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6"/>
    </row>
    <row r="52" spans="1:38" ht="15" customHeight="1">
      <c r="A52" s="292" t="s">
        <v>115</v>
      </c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2" t="s">
        <v>115</v>
      </c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L52" s="10"/>
    </row>
    <row r="53" spans="1:38" ht="15.75" thickBot="1">
      <c r="A53" s="316" t="str">
        <f>設定!$B$1</f>
        <v>第６８回西日本学生陸上競技対校選手権大会</v>
      </c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294" t="s">
        <v>114</v>
      </c>
      <c r="N53" s="295"/>
      <c r="O53" s="293"/>
      <c r="P53" s="316" t="str">
        <f>設定!$B$1</f>
        <v>第６８回西日本学生陸上競技対校選手権大会</v>
      </c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294" t="s">
        <v>114</v>
      </c>
      <c r="AC53" s="295"/>
    </row>
    <row r="54" spans="1:38" ht="15.75" customHeight="1" thickTop="1">
      <c r="A54" s="296" t="s">
        <v>124</v>
      </c>
      <c r="B54" s="297"/>
      <c r="C54" s="304" t="str">
        <f>IF(AD54&lt;&gt;"",VLOOKUP(AD54,選手情報!E:W,9,FALSE),"")</f>
        <v/>
      </c>
      <c r="D54" s="305"/>
      <c r="E54" s="305"/>
      <c r="F54" s="306" t="s">
        <v>146</v>
      </c>
      <c r="G54" s="307"/>
      <c r="H54" s="308"/>
      <c r="I54" s="312" t="str">
        <f>IF(AD57&lt;&gt;"",AD57,"")</f>
        <v/>
      </c>
      <c r="J54" s="313"/>
      <c r="K54" s="313"/>
      <c r="L54" s="298" t="s">
        <v>116</v>
      </c>
      <c r="M54" s="300" t="str">
        <f>IF(AD60&lt;&gt;"",AD60,"")</f>
        <v/>
      </c>
      <c r="N54" s="301"/>
      <c r="O54" s="293"/>
      <c r="P54" s="296" t="s">
        <v>124</v>
      </c>
      <c r="Q54" s="297"/>
      <c r="R54" s="304" t="str">
        <f>IF(AE54&lt;&gt;"",VLOOKUP(AE54,選手情報!E:W,9,FALSE),"")</f>
        <v/>
      </c>
      <c r="S54" s="305"/>
      <c r="T54" s="305"/>
      <c r="U54" s="306" t="s">
        <v>146</v>
      </c>
      <c r="V54" s="307"/>
      <c r="W54" s="308"/>
      <c r="X54" s="312" t="str">
        <f>IF(AE57&lt;&gt;"",AE57,"")</f>
        <v/>
      </c>
      <c r="Y54" s="313"/>
      <c r="Z54" s="313"/>
      <c r="AA54" s="298" t="s">
        <v>116</v>
      </c>
      <c r="AB54" s="300" t="str">
        <f>IF(AE60&lt;&gt;"",AE60,"")</f>
        <v/>
      </c>
      <c r="AC54" s="301"/>
      <c r="AD54" s="9" t="str">
        <f>IF(学校情報!$A$4&lt;&gt;"","",IF(COUNTIF(選手情報!E:E,($AK$4-1)*10+9)=1,($AK$4-1)*10+9,""))</f>
        <v/>
      </c>
      <c r="AE54" s="9" t="str">
        <f>IF(学校情報!$A$4&lt;&gt;"","",IF(COUNTIF(選手情報!$E:$E,($AK$4-1)*10+10)=1,($AK$4-1)*10+10,""))</f>
        <v/>
      </c>
      <c r="AL54" s="10"/>
    </row>
    <row r="55" spans="1:38" ht="15.75" customHeight="1" thickBot="1">
      <c r="A55" s="239"/>
      <c r="B55" s="240"/>
      <c r="C55" s="244"/>
      <c r="D55" s="245"/>
      <c r="E55" s="245"/>
      <c r="F55" s="309"/>
      <c r="G55" s="310"/>
      <c r="H55" s="311"/>
      <c r="I55" s="314"/>
      <c r="J55" s="315"/>
      <c r="K55" s="315"/>
      <c r="L55" s="299"/>
      <c r="M55" s="302"/>
      <c r="N55" s="303"/>
      <c r="O55" s="293"/>
      <c r="P55" s="239"/>
      <c r="Q55" s="240"/>
      <c r="R55" s="244"/>
      <c r="S55" s="245"/>
      <c r="T55" s="245"/>
      <c r="U55" s="309"/>
      <c r="V55" s="310"/>
      <c r="W55" s="311"/>
      <c r="X55" s="314"/>
      <c r="Y55" s="315"/>
      <c r="Z55" s="315"/>
      <c r="AA55" s="299"/>
      <c r="AB55" s="302"/>
      <c r="AC55" s="303"/>
      <c r="AD55" s="9" t="str">
        <f>IF(AD54&lt;&gt;"",VLOOKUP(AD54,選手情報!E:W,3,FALSE),"")</f>
        <v/>
      </c>
      <c r="AE55" s="9" t="str">
        <f>IF(AE54&lt;&gt;"",VLOOKUP(AE54,選手情報!E:W,3,FALSE),"")</f>
        <v/>
      </c>
      <c r="AL55" s="10"/>
    </row>
    <row r="56" spans="1:38" ht="15" customHeight="1">
      <c r="A56" s="271" t="s">
        <v>125</v>
      </c>
      <c r="B56" s="238"/>
      <c r="C56" s="272" t="s">
        <v>117</v>
      </c>
      <c r="D56" s="238"/>
      <c r="E56" s="238"/>
      <c r="F56" s="238"/>
      <c r="G56" s="238"/>
      <c r="H56" s="273"/>
      <c r="I56" s="274" t="s">
        <v>121</v>
      </c>
      <c r="J56" s="274" t="s">
        <v>120</v>
      </c>
      <c r="K56" s="276"/>
      <c r="L56" s="242" t="str">
        <f>IF(AD54&lt;&gt;"",'様式Ⅰ　総括申込書'!$C$2,"")</f>
        <v/>
      </c>
      <c r="M56" s="242"/>
      <c r="N56" s="243"/>
      <c r="O56" s="293"/>
      <c r="P56" s="271" t="s">
        <v>125</v>
      </c>
      <c r="Q56" s="238"/>
      <c r="R56" s="272" t="s">
        <v>117</v>
      </c>
      <c r="S56" s="238"/>
      <c r="T56" s="238"/>
      <c r="U56" s="238"/>
      <c r="V56" s="238"/>
      <c r="W56" s="273"/>
      <c r="X56" s="274" t="s">
        <v>121</v>
      </c>
      <c r="Y56" s="274" t="s">
        <v>120</v>
      </c>
      <c r="Z56" s="276"/>
      <c r="AA56" s="242" t="str">
        <f>IF(AE54&lt;&gt;"",'様式Ⅰ　総括申込書'!$C$2,"")</f>
        <v/>
      </c>
      <c r="AB56" s="242"/>
      <c r="AC56" s="243"/>
      <c r="AD56" s="9" t="str">
        <f>IF(AD54&lt;&gt;"",VLOOKUP(A58&amp;AD55,'様式Ⅰ　総括申込書'!$N$37:$X$177,11,FALSE),"")</f>
        <v/>
      </c>
      <c r="AE56" s="9" t="str">
        <f>IF(P58&lt;&gt;"",VLOOKUP(P58&amp;AE55,'様式Ⅰ　総括申込書'!$N$37:$X$177,11,FALSE),"")</f>
        <v/>
      </c>
      <c r="AL56" s="10"/>
    </row>
    <row r="57" spans="1:38" ht="15.75" customHeight="1" thickBot="1">
      <c r="A57" s="249"/>
      <c r="B57" s="248"/>
      <c r="C57" s="279" t="s">
        <v>118</v>
      </c>
      <c r="D57" s="280"/>
      <c r="E57" s="280"/>
      <c r="F57" s="280"/>
      <c r="G57" s="280"/>
      <c r="H57" s="281"/>
      <c r="I57" s="275"/>
      <c r="J57" s="277"/>
      <c r="K57" s="278"/>
      <c r="L57" s="245"/>
      <c r="M57" s="245"/>
      <c r="N57" s="246"/>
      <c r="O57" s="293"/>
      <c r="P57" s="249"/>
      <c r="Q57" s="248"/>
      <c r="R57" s="279" t="s">
        <v>118</v>
      </c>
      <c r="S57" s="280"/>
      <c r="T57" s="280"/>
      <c r="U57" s="280"/>
      <c r="V57" s="280"/>
      <c r="W57" s="281"/>
      <c r="X57" s="275"/>
      <c r="Y57" s="277"/>
      <c r="Z57" s="278"/>
      <c r="AA57" s="245"/>
      <c r="AB57" s="245"/>
      <c r="AC57" s="246"/>
      <c r="AD57" s="9" t="str">
        <f>IF(LEN(SUBSTITUTE(AD56,"/"&amp;C54,""))&gt;0,RIGHT(SUBSTITUTE(AD56,"/"&amp;C54,""),LEN(SUBSTITUTE(AD56,"/"&amp;C54,""))-1),"")</f>
        <v/>
      </c>
      <c r="AE57" s="9" t="str">
        <f>IF(LEN(SUBSTITUTE(AE56,"/"&amp;R54,""))&gt;0,RIGHT(SUBSTITUTE(AE56,"/"&amp;R54,""),LEN(SUBSTITUTE(AE56,"/"&amp;R54,""))-1),"")</f>
        <v/>
      </c>
      <c r="AL57" s="10"/>
    </row>
    <row r="58" spans="1:38" ht="18.75" customHeight="1">
      <c r="A58" s="252" t="str">
        <f>IF(AD54&lt;&gt;"",VLOOKUP(AD54,選手情報!E:W,2,FALSE),"")</f>
        <v/>
      </c>
      <c r="B58" s="253"/>
      <c r="C58" s="290" t="str">
        <f>IF(AD54&lt;&gt;"",VLOOKUP(AD54,選手情報!E:W,5,FALSE),"")</f>
        <v/>
      </c>
      <c r="D58" s="291"/>
      <c r="E58" s="291"/>
      <c r="F58" s="291"/>
      <c r="G58" s="291"/>
      <c r="H58" s="253"/>
      <c r="I58" s="269" t="str">
        <f>IF(AD54&lt;&gt;"",VLOOKUP(AJ54+1,選手情報!E:W,6,FALSE),"")</f>
        <v/>
      </c>
      <c r="J58" s="282" t="s">
        <v>123</v>
      </c>
      <c r="K58" s="283"/>
      <c r="L58" s="288" t="str">
        <f>IF(AD54&lt;&gt;"",VLOOKUP(AD54,選手情報!E:W,8,FALSE),"")</f>
        <v/>
      </c>
      <c r="M58" s="288"/>
      <c r="N58" s="289"/>
      <c r="O58" s="293"/>
      <c r="P58" s="252" t="str">
        <f>IF(AE54&lt;&gt;"",VLOOKUP(AE54,選手情報!E:W,2,FALSE),"")</f>
        <v/>
      </c>
      <c r="Q58" s="253"/>
      <c r="R58" s="290" t="str">
        <f>IF(AE54&lt;&gt;"",VLOOKUP(AE54,選手情報!E:W,5,FALSE),"")</f>
        <v/>
      </c>
      <c r="S58" s="291"/>
      <c r="T58" s="291"/>
      <c r="U58" s="291"/>
      <c r="V58" s="291"/>
      <c r="W58" s="253"/>
      <c r="X58" s="269" t="str">
        <f>IF(AE54&lt;&gt;"",VLOOKUP(AZ54+1,選手情報!E:W,6,FALSE),"")</f>
        <v/>
      </c>
      <c r="Y58" s="282" t="s">
        <v>123</v>
      </c>
      <c r="Z58" s="283"/>
      <c r="AA58" s="288" t="str">
        <f>IF(AE54&lt;&gt;"",VLOOKUP(AE54,選手情報!E:W,8,FALSE),"")</f>
        <v/>
      </c>
      <c r="AB58" s="288"/>
      <c r="AC58" s="289"/>
      <c r="AD58" s="9">
        <f>COUNTIF(リレーチーム情報!$B$5:$B$10,A58&amp;AD55)+COUNTIF(リレーチーム情報!$B$17:$B$22,A58&amp;AD55)</f>
        <v>12</v>
      </c>
      <c r="AE58" s="9">
        <f>COUNTIF(リレーチーム情報!$B$5:$B$10,P58&amp;AE55)+COUNTIF(リレーチーム情報!$B$17:$B$22,P58&amp;AE55)</f>
        <v>12</v>
      </c>
      <c r="AL58" s="10"/>
    </row>
    <row r="59" spans="1:38" ht="15" customHeight="1">
      <c r="A59" s="254"/>
      <c r="B59" s="255"/>
      <c r="C59" s="259" t="str">
        <f>IF(AD54&lt;&gt;"",VLOOKUP(AD54,選手情報!E:W,4,FALSE),"")</f>
        <v/>
      </c>
      <c r="D59" s="260"/>
      <c r="E59" s="260"/>
      <c r="F59" s="260"/>
      <c r="G59" s="260"/>
      <c r="H59" s="261"/>
      <c r="I59" s="248"/>
      <c r="J59" s="284"/>
      <c r="K59" s="285"/>
      <c r="L59" s="288"/>
      <c r="M59" s="288"/>
      <c r="N59" s="289"/>
      <c r="O59" s="293"/>
      <c r="P59" s="254"/>
      <c r="Q59" s="255"/>
      <c r="R59" s="259" t="str">
        <f>IF(AE54&lt;&gt;"",VLOOKUP(AE54,選手情報!E:W,4,FALSE),"")</f>
        <v/>
      </c>
      <c r="S59" s="260"/>
      <c r="T59" s="260"/>
      <c r="U59" s="260"/>
      <c r="V59" s="260"/>
      <c r="W59" s="261"/>
      <c r="X59" s="248"/>
      <c r="Y59" s="284"/>
      <c r="Z59" s="285"/>
      <c r="AA59" s="288"/>
      <c r="AB59" s="288"/>
      <c r="AC59" s="289"/>
      <c r="AD59" s="9">
        <f>COUNTIF(リレーチーム情報!$B$11:$B$16,A58&amp;AD55)+COUNTIF(リレーチーム情報!$B$23:$B$28,A58&amp;AD55)</f>
        <v>12</v>
      </c>
      <c r="AE59" s="9">
        <f>COUNTIF(リレーチーム情報!$B$11:$B$16,P58&amp;AE55)+COUNTIF(リレーチーム情報!$B$23:$B$28,P58&amp;AE55)</f>
        <v>12</v>
      </c>
      <c r="AL59" s="10"/>
    </row>
    <row r="60" spans="1:38" ht="15.75" customHeight="1" thickBot="1">
      <c r="A60" s="256"/>
      <c r="B60" s="257"/>
      <c r="C60" s="262"/>
      <c r="D60" s="245"/>
      <c r="E60" s="245"/>
      <c r="F60" s="245"/>
      <c r="G60" s="245"/>
      <c r="H60" s="257"/>
      <c r="I60" s="240"/>
      <c r="J60" s="286"/>
      <c r="K60" s="287"/>
      <c r="L60" s="245"/>
      <c r="M60" s="245"/>
      <c r="N60" s="246"/>
      <c r="O60" s="293"/>
      <c r="P60" s="256"/>
      <c r="Q60" s="257"/>
      <c r="R60" s="262"/>
      <c r="S60" s="245"/>
      <c r="T60" s="245"/>
      <c r="U60" s="245"/>
      <c r="V60" s="245"/>
      <c r="W60" s="257"/>
      <c r="X60" s="240"/>
      <c r="Y60" s="286"/>
      <c r="Z60" s="287"/>
      <c r="AA60" s="245"/>
      <c r="AB60" s="245"/>
      <c r="AC60" s="246"/>
      <c r="AD60" s="9" t="str">
        <f>IF(AND(AD58=1,AD59=0),"4×100mR",IF(AND(AD58=0,AD59=1),"4×400mR",IF(AND(AD58=1,AD59=1),"4×100mR"&amp;CHAR(13)&amp;CHAR(10)&amp;"4×400mR","")))</f>
        <v/>
      </c>
      <c r="AE60" s="9" t="str">
        <f>IF(AND(AE58=1,AE59=0),"4×100mR",IF(AND(AE58=0,AE59=1),"4×400mR",IF(AND(AE58=1,AE59=1),"4×100mR"&amp;CHAR(13)&amp;CHAR(10)&amp;"4×400mR","")))</f>
        <v/>
      </c>
      <c r="AL60" s="10"/>
    </row>
    <row r="61" spans="1:38" ht="15" customHeight="1">
      <c r="A61" s="247" t="s">
        <v>126</v>
      </c>
      <c r="B61" s="248"/>
      <c r="C61" s="241" t="str">
        <f>IF(AD54&lt;&gt;"",VLOOKUP(AD54,選手情報!E:W,12,FALSE),"")</f>
        <v/>
      </c>
      <c r="D61" s="242"/>
      <c r="E61" s="242"/>
      <c r="F61" s="250" t="s">
        <v>119</v>
      </c>
      <c r="G61" s="242" t="str">
        <f>IF(AD54&lt;&gt;"",IF(VLOOKUP(AD54,選手情報!E:W,13,FALSE)="","",VLOOKUP(AD54,選手情報!E:W,13,FALSE)&amp;TEXT(VLOOKUP(AD54,選手情報!E:W,14,FALSE),"0.0")),"")</f>
        <v/>
      </c>
      <c r="H61" s="258"/>
      <c r="I61" s="248" t="s">
        <v>122</v>
      </c>
      <c r="J61" s="263" t="str">
        <f>IF(AD54&lt;&gt;"",VLOOKUP(AD54,選手情報!E:W,16,FALSE),"")</f>
        <v/>
      </c>
      <c r="K61" s="264"/>
      <c r="L61" s="264"/>
      <c r="M61" s="264"/>
      <c r="N61" s="265"/>
      <c r="O61" s="293"/>
      <c r="P61" s="247" t="s">
        <v>126</v>
      </c>
      <c r="Q61" s="248"/>
      <c r="R61" s="241" t="str">
        <f>IF(AE54&lt;&gt;"",VLOOKUP(AE54,選手情報!E:W,12,FALSE),"")</f>
        <v/>
      </c>
      <c r="S61" s="242"/>
      <c r="T61" s="242"/>
      <c r="U61" s="250" t="s">
        <v>119</v>
      </c>
      <c r="V61" s="242" t="str">
        <f>IF(AE54&lt;&gt;"",IF(VLOOKUP(AE54,選手情報!E:W,13,FALSE)="","",VLOOKUP(AE54,選手情報!E:W,13,FALSE)&amp;TEXT(VLOOKUP(AE54,選手情報!E:W,14,FALSE),"0.0")),"")</f>
        <v/>
      </c>
      <c r="W61" s="258"/>
      <c r="X61" s="248" t="s">
        <v>122</v>
      </c>
      <c r="Y61" s="263" t="str">
        <f>IF(AE54&lt;&gt;"",VLOOKUP(AE54,選手情報!E:W,16,FALSE),"")</f>
        <v/>
      </c>
      <c r="Z61" s="264"/>
      <c r="AA61" s="264"/>
      <c r="AB61" s="264"/>
      <c r="AC61" s="265"/>
      <c r="AL61" s="10"/>
    </row>
    <row r="62" spans="1:38" ht="15.75" customHeight="1" thickBot="1">
      <c r="A62" s="249"/>
      <c r="B62" s="248"/>
      <c r="C62" s="244"/>
      <c r="D62" s="245"/>
      <c r="E62" s="245"/>
      <c r="F62" s="251"/>
      <c r="G62" s="245"/>
      <c r="H62" s="257"/>
      <c r="I62" s="248"/>
      <c r="J62" s="266"/>
      <c r="K62" s="267"/>
      <c r="L62" s="267"/>
      <c r="M62" s="267"/>
      <c r="N62" s="268"/>
      <c r="O62" s="293"/>
      <c r="P62" s="249"/>
      <c r="Q62" s="248"/>
      <c r="R62" s="244"/>
      <c r="S62" s="245"/>
      <c r="T62" s="245"/>
      <c r="U62" s="251"/>
      <c r="V62" s="245"/>
      <c r="W62" s="257"/>
      <c r="X62" s="248"/>
      <c r="Y62" s="266"/>
      <c r="Z62" s="267"/>
      <c r="AA62" s="267"/>
      <c r="AB62" s="267"/>
      <c r="AC62" s="268"/>
      <c r="AL62" s="10"/>
    </row>
    <row r="63" spans="1:38" ht="15" customHeight="1">
      <c r="A63" s="237" t="s">
        <v>127</v>
      </c>
      <c r="B63" s="238"/>
      <c r="C63" s="241" t="str">
        <f>IF(AD54&lt;&gt;"",VLOOKUP(AD54,選手情報!E:W,15,FALSE),"")</f>
        <v/>
      </c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3"/>
      <c r="O63" s="293"/>
      <c r="P63" s="237" t="s">
        <v>127</v>
      </c>
      <c r="Q63" s="238"/>
      <c r="R63" s="241" t="str">
        <f>IF(AE54&lt;&gt;"",VLOOKUP(AE54,選手情報!E:W,15,FALSE),"")</f>
        <v/>
      </c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3"/>
    </row>
    <row r="64" spans="1:38" ht="15.75" customHeight="1" thickBot="1">
      <c r="A64" s="239"/>
      <c r="B64" s="240"/>
      <c r="C64" s="244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6"/>
      <c r="O64" s="293"/>
      <c r="P64" s="239"/>
      <c r="Q64" s="240"/>
      <c r="R64" s="244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6"/>
    </row>
  </sheetData>
  <sheetProtection password="E027" sheet="1" objects="1" scenarios="1" selectLockedCells="1"/>
  <mergeCells count="291">
    <mergeCell ref="A15:B16"/>
    <mergeCell ref="O1:O64"/>
    <mergeCell ref="P11:Q12"/>
    <mergeCell ref="A13:N13"/>
    <mergeCell ref="A17:B18"/>
    <mergeCell ref="C19:H19"/>
    <mergeCell ref="C17:H17"/>
    <mergeCell ref="C18:H18"/>
    <mergeCell ref="F15:H16"/>
    <mergeCell ref="A26:N26"/>
    <mergeCell ref="M27:N27"/>
    <mergeCell ref="M28:N29"/>
    <mergeCell ref="L30:N31"/>
    <mergeCell ref="C28:E29"/>
    <mergeCell ref="A22:B23"/>
    <mergeCell ref="C22:E23"/>
    <mergeCell ref="F22:F23"/>
    <mergeCell ref="F28:H29"/>
    <mergeCell ref="I28:K29"/>
    <mergeCell ref="C31:H31"/>
    <mergeCell ref="I17:I18"/>
    <mergeCell ref="J17:K18"/>
    <mergeCell ref="I19:I21"/>
    <mergeCell ref="A11:B12"/>
    <mergeCell ref="AK4:AK6"/>
    <mergeCell ref="I41:K42"/>
    <mergeCell ref="X30:X31"/>
    <mergeCell ref="Y30:Z31"/>
    <mergeCell ref="M40:N40"/>
    <mergeCell ref="L32:N34"/>
    <mergeCell ref="J19:K21"/>
    <mergeCell ref="J30:K31"/>
    <mergeCell ref="P4:Q5"/>
    <mergeCell ref="P9:Q10"/>
    <mergeCell ref="AA4:AC5"/>
    <mergeCell ref="R5:W5"/>
    <mergeCell ref="Y4:Z5"/>
    <mergeCell ref="M53:N53"/>
    <mergeCell ref="L54:L55"/>
    <mergeCell ref="M54:N55"/>
    <mergeCell ref="X4:X5"/>
    <mergeCell ref="X9:X10"/>
    <mergeCell ref="A14:L14"/>
    <mergeCell ref="I15:K16"/>
    <mergeCell ref="A39:N39"/>
    <mergeCell ref="A37:B38"/>
    <mergeCell ref="I35:I36"/>
    <mergeCell ref="A35:B36"/>
    <mergeCell ref="C35:E36"/>
    <mergeCell ref="F35:F36"/>
    <mergeCell ref="C11:N12"/>
    <mergeCell ref="A30:B31"/>
    <mergeCell ref="C30:H30"/>
    <mergeCell ref="I30:I31"/>
    <mergeCell ref="C54:E55"/>
    <mergeCell ref="F54:H55"/>
    <mergeCell ref="C20:H21"/>
    <mergeCell ref="I54:K55"/>
    <mergeCell ref="AB1:AC1"/>
    <mergeCell ref="P2:Q3"/>
    <mergeCell ref="AA2:AA3"/>
    <mergeCell ref="AB2:AC3"/>
    <mergeCell ref="U2:W3"/>
    <mergeCell ref="X2:Z3"/>
    <mergeCell ref="P1:AA1"/>
    <mergeCell ref="R2:T3"/>
    <mergeCell ref="L15:L16"/>
    <mergeCell ref="M15:N16"/>
    <mergeCell ref="R4:W4"/>
    <mergeCell ref="R9:T10"/>
    <mergeCell ref="U9:U10"/>
    <mergeCell ref="V9:W10"/>
    <mergeCell ref="R11:AC12"/>
    <mergeCell ref="M1:N1"/>
    <mergeCell ref="L2:L3"/>
    <mergeCell ref="M2:N3"/>
    <mergeCell ref="L4:N5"/>
    <mergeCell ref="A1:L1"/>
    <mergeCell ref="C2:E3"/>
    <mergeCell ref="F2:H3"/>
    <mergeCell ref="I2:K3"/>
    <mergeCell ref="M14:N14"/>
    <mergeCell ref="A2:B3"/>
    <mergeCell ref="C4:H4"/>
    <mergeCell ref="C5:H5"/>
    <mergeCell ref="C6:H6"/>
    <mergeCell ref="A4:B5"/>
    <mergeCell ref="A6:B8"/>
    <mergeCell ref="L6:N8"/>
    <mergeCell ref="C7:H8"/>
    <mergeCell ref="I9:I10"/>
    <mergeCell ref="J9:N10"/>
    <mergeCell ref="I4:I5"/>
    <mergeCell ref="J4:K5"/>
    <mergeCell ref="I6:I8"/>
    <mergeCell ref="J6:K8"/>
    <mergeCell ref="A9:B10"/>
    <mergeCell ref="C9:E10"/>
    <mergeCell ref="F9:F10"/>
    <mergeCell ref="C15:E16"/>
    <mergeCell ref="G9:H10"/>
    <mergeCell ref="G22:H23"/>
    <mergeCell ref="G35:H36"/>
    <mergeCell ref="L17:N18"/>
    <mergeCell ref="A41:B42"/>
    <mergeCell ref="A32:B34"/>
    <mergeCell ref="A19:B21"/>
    <mergeCell ref="C32:H32"/>
    <mergeCell ref="I32:I34"/>
    <mergeCell ref="J32:K34"/>
    <mergeCell ref="A24:B25"/>
    <mergeCell ref="C24:N25"/>
    <mergeCell ref="A27:L27"/>
    <mergeCell ref="A28:B29"/>
    <mergeCell ref="L28:L29"/>
    <mergeCell ref="L19:N21"/>
    <mergeCell ref="I22:I23"/>
    <mergeCell ref="J22:N23"/>
    <mergeCell ref="C37:N38"/>
    <mergeCell ref="J35:N36"/>
    <mergeCell ref="L41:L42"/>
    <mergeCell ref="M41:N42"/>
    <mergeCell ref="C33:H34"/>
    <mergeCell ref="J48:N49"/>
    <mergeCell ref="G48:H49"/>
    <mergeCell ref="C50:N51"/>
    <mergeCell ref="C44:H44"/>
    <mergeCell ref="C46:H47"/>
    <mergeCell ref="C41:E42"/>
    <mergeCell ref="F41:H42"/>
    <mergeCell ref="C63:N64"/>
    <mergeCell ref="I43:I44"/>
    <mergeCell ref="J43:K44"/>
    <mergeCell ref="L58:N60"/>
    <mergeCell ref="C59:H60"/>
    <mergeCell ref="C45:H45"/>
    <mergeCell ref="I45:I47"/>
    <mergeCell ref="J45:K47"/>
    <mergeCell ref="F48:F49"/>
    <mergeCell ref="C43:H43"/>
    <mergeCell ref="A52:N52"/>
    <mergeCell ref="A54:B55"/>
    <mergeCell ref="L45:N47"/>
    <mergeCell ref="A43:B44"/>
    <mergeCell ref="L43:N44"/>
    <mergeCell ref="A50:B51"/>
    <mergeCell ref="A48:B49"/>
    <mergeCell ref="A45:B47"/>
    <mergeCell ref="A63:B64"/>
    <mergeCell ref="A56:B57"/>
    <mergeCell ref="C48:E49"/>
    <mergeCell ref="A40:L40"/>
    <mergeCell ref="A58:B60"/>
    <mergeCell ref="I58:I60"/>
    <mergeCell ref="A61:B62"/>
    <mergeCell ref="G61:H62"/>
    <mergeCell ref="J61:N62"/>
    <mergeCell ref="I56:I57"/>
    <mergeCell ref="J56:K57"/>
    <mergeCell ref="C56:H56"/>
    <mergeCell ref="C57:H57"/>
    <mergeCell ref="C61:E62"/>
    <mergeCell ref="F61:F62"/>
    <mergeCell ref="C58:H58"/>
    <mergeCell ref="J58:K60"/>
    <mergeCell ref="I61:I62"/>
    <mergeCell ref="L56:N57"/>
    <mergeCell ref="A53:L53"/>
    <mergeCell ref="I48:I49"/>
    <mergeCell ref="P14:AA14"/>
    <mergeCell ref="P6:Q8"/>
    <mergeCell ref="R6:W6"/>
    <mergeCell ref="X6:X8"/>
    <mergeCell ref="Y6:Z8"/>
    <mergeCell ref="R7:W8"/>
    <mergeCell ref="AA6:AC8"/>
    <mergeCell ref="AB14:AC14"/>
    <mergeCell ref="P13:AC13"/>
    <mergeCell ref="Y9:AC10"/>
    <mergeCell ref="P17:Q18"/>
    <mergeCell ref="R17:W17"/>
    <mergeCell ref="P19:Q21"/>
    <mergeCell ref="R19:W19"/>
    <mergeCell ref="X19:X21"/>
    <mergeCell ref="Y19:Z21"/>
    <mergeCell ref="AA17:AC18"/>
    <mergeCell ref="R18:W18"/>
    <mergeCell ref="AB15:AC16"/>
    <mergeCell ref="X17:X18"/>
    <mergeCell ref="Y17:Z18"/>
    <mergeCell ref="R15:T16"/>
    <mergeCell ref="U15:W16"/>
    <mergeCell ref="X15:Z16"/>
    <mergeCell ref="P15:Q16"/>
    <mergeCell ref="AA15:AA16"/>
    <mergeCell ref="X22:X23"/>
    <mergeCell ref="Y22:AC23"/>
    <mergeCell ref="P24:Q25"/>
    <mergeCell ref="R24:AC25"/>
    <mergeCell ref="P22:Q23"/>
    <mergeCell ref="R22:T23"/>
    <mergeCell ref="U22:U23"/>
    <mergeCell ref="V22:W23"/>
    <mergeCell ref="AA19:AC21"/>
    <mergeCell ref="R20:W21"/>
    <mergeCell ref="P26:AC26"/>
    <mergeCell ref="AB27:AC27"/>
    <mergeCell ref="P28:Q29"/>
    <mergeCell ref="AA28:AA29"/>
    <mergeCell ref="AB28:AC29"/>
    <mergeCell ref="P27:AA27"/>
    <mergeCell ref="R28:T29"/>
    <mergeCell ref="U28:W29"/>
    <mergeCell ref="X28:Z29"/>
    <mergeCell ref="AA30:AC31"/>
    <mergeCell ref="R31:W31"/>
    <mergeCell ref="P32:Q34"/>
    <mergeCell ref="R32:W32"/>
    <mergeCell ref="X32:X34"/>
    <mergeCell ref="Y32:Z34"/>
    <mergeCell ref="AA32:AC34"/>
    <mergeCell ref="R33:W34"/>
    <mergeCell ref="P30:Q31"/>
    <mergeCell ref="R30:W30"/>
    <mergeCell ref="X35:X36"/>
    <mergeCell ref="Y35:AC36"/>
    <mergeCell ref="R41:T42"/>
    <mergeCell ref="U41:W42"/>
    <mergeCell ref="X41:Z42"/>
    <mergeCell ref="P39:AC39"/>
    <mergeCell ref="AB40:AC40"/>
    <mergeCell ref="P41:Q42"/>
    <mergeCell ref="P37:Q38"/>
    <mergeCell ref="R37:AC38"/>
    <mergeCell ref="P35:Q36"/>
    <mergeCell ref="R35:T36"/>
    <mergeCell ref="U35:U36"/>
    <mergeCell ref="V35:W36"/>
    <mergeCell ref="P40:AA40"/>
    <mergeCell ref="AB41:AC42"/>
    <mergeCell ref="AA41:AA42"/>
    <mergeCell ref="AA45:AC47"/>
    <mergeCell ref="R46:W47"/>
    <mergeCell ref="X45:X47"/>
    <mergeCell ref="Y45:Z47"/>
    <mergeCell ref="X43:X44"/>
    <mergeCell ref="Y43:Z44"/>
    <mergeCell ref="AA43:AC44"/>
    <mergeCell ref="R44:W44"/>
    <mergeCell ref="P48:Q49"/>
    <mergeCell ref="R48:T49"/>
    <mergeCell ref="U48:U49"/>
    <mergeCell ref="V48:W49"/>
    <mergeCell ref="P43:Q44"/>
    <mergeCell ref="R43:W43"/>
    <mergeCell ref="P45:Q47"/>
    <mergeCell ref="R45:W45"/>
    <mergeCell ref="AA56:AC57"/>
    <mergeCell ref="X58:X60"/>
    <mergeCell ref="AK1:AQ3"/>
    <mergeCell ref="P56:Q57"/>
    <mergeCell ref="R56:W56"/>
    <mergeCell ref="X56:X57"/>
    <mergeCell ref="Y56:Z57"/>
    <mergeCell ref="R57:W57"/>
    <mergeCell ref="Y58:Z60"/>
    <mergeCell ref="AA58:AC60"/>
    <mergeCell ref="R58:W58"/>
    <mergeCell ref="P52:AC52"/>
    <mergeCell ref="AB53:AC53"/>
    <mergeCell ref="P54:Q55"/>
    <mergeCell ref="AA54:AA55"/>
    <mergeCell ref="AB54:AC55"/>
    <mergeCell ref="R54:T55"/>
    <mergeCell ref="U54:W55"/>
    <mergeCell ref="X54:Z55"/>
    <mergeCell ref="P53:AA53"/>
    <mergeCell ref="X48:X49"/>
    <mergeCell ref="Y48:AC49"/>
    <mergeCell ref="P50:Q51"/>
    <mergeCell ref="R50:AC51"/>
    <mergeCell ref="P63:Q64"/>
    <mergeCell ref="R63:AC64"/>
    <mergeCell ref="P61:Q62"/>
    <mergeCell ref="R61:T62"/>
    <mergeCell ref="U61:U62"/>
    <mergeCell ref="P58:Q60"/>
    <mergeCell ref="V61:W62"/>
    <mergeCell ref="R59:W60"/>
    <mergeCell ref="X61:X62"/>
    <mergeCell ref="Y61:AC62"/>
  </mergeCells>
  <phoneticPr fontId="2"/>
  <conditionalFormatting sqref="A14:C14 A27:C27 A40:C40 A53:C53 A1:C1">
    <cfRule type="expression" dxfId="9" priority="1" stopIfTrue="1">
      <formula>AD3="女"</formula>
    </cfRule>
  </conditionalFormatting>
  <conditionalFormatting sqref="M1:N1 M14:N14 M27:N27 M40:N40 M53:N53">
    <cfRule type="expression" dxfId="8" priority="2" stopIfTrue="1">
      <formula>AD3="女"</formula>
    </cfRule>
  </conditionalFormatting>
  <conditionalFormatting sqref="P14:Q14 P27:Q27 P40:Q40 P53:Q53 P1:Q1">
    <cfRule type="expression" dxfId="7" priority="3" stopIfTrue="1">
      <formula>AE3="女"</formula>
    </cfRule>
  </conditionalFormatting>
  <conditionalFormatting sqref="AB1:AC1 AB14:AC14 AB27:AC27 AB40:AC40 AB53:AC53">
    <cfRule type="expression" dxfId="6" priority="4" stopIfTrue="1">
      <formula>AE3="女"</formula>
    </cfRule>
  </conditionalFormatting>
  <conditionalFormatting sqref="D14:L14 D27:L27 D40:L40 D53:L53 D1:L1">
    <cfRule type="expression" dxfId="5" priority="42" stopIfTrue="1">
      <formula>AJ3="女"</formula>
    </cfRule>
  </conditionalFormatting>
  <conditionalFormatting sqref="R14:AA14 R27:AA27 R40:AA40 R53:AA53 R1:AA1">
    <cfRule type="expression" dxfId="4" priority="52" stopIfTrue="1">
      <formula>AJ3="女"</formula>
    </cfRule>
  </conditionalFormatting>
  <pageMargins left="0.19685039370078741" right="0.19685039370078741" top="0.19685039370078741" bottom="0.19685039370078741" header="0" footer="0"/>
  <pageSetup paperSize="9" scale="89" orientation="portrait" r:id="rId1"/>
  <headerFooter alignWithMargins="0"/>
  <colBreaks count="1" manualBreakCount="1">
    <brk id="2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view="pageBreakPreview" zoomScale="70" zoomScaleNormal="100" zoomScaleSheetLayoutView="100" workbookViewId="0">
      <selection activeCell="O1" sqref="O1"/>
    </sheetView>
  </sheetViews>
  <sheetFormatPr defaultRowHeight="15"/>
  <cols>
    <col min="1" max="15" width="3.625" style="144" customWidth="1"/>
    <col min="16" max="16" width="5.5" style="144" customWidth="1"/>
    <col min="17" max="31" width="3.625" style="144" customWidth="1"/>
    <col min="32" max="32" width="7.375" style="144" hidden="1" customWidth="1"/>
    <col min="33" max="33" width="5.75" style="144" hidden="1" customWidth="1"/>
    <col min="34" max="50" width="3.625" style="144" customWidth="1"/>
    <col min="51" max="16384" width="9" style="144"/>
  </cols>
  <sheetData>
    <row r="1" spans="1:33" ht="15" customHeight="1">
      <c r="A1" s="319" t="str">
        <f>設定!$B$1</f>
        <v>第６８回西日本学生陸上競技対校選手権大会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P1" s="372" t="s">
        <v>257</v>
      </c>
      <c r="Q1" s="319" t="str">
        <f>設定!$B$1</f>
        <v>第６８回西日本学生陸上競技対校選手権大会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</row>
    <row r="2" spans="1:33" ht="15.75" customHeight="1" thickBot="1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74" t="s">
        <v>241</v>
      </c>
      <c r="N2" s="374"/>
      <c r="O2" s="374"/>
      <c r="P2" s="373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74" t="s">
        <v>241</v>
      </c>
      <c r="AD2" s="374"/>
      <c r="AE2" s="374"/>
    </row>
    <row r="3" spans="1:33" ht="15.75" customHeight="1" thickTop="1">
      <c r="A3" s="346" t="s">
        <v>243</v>
      </c>
      <c r="B3" s="347"/>
      <c r="C3" s="357" t="str">
        <f>IF(リレーチーム情報!T5="〇",学校情報!$B$5,"")</f>
        <v/>
      </c>
      <c r="D3" s="358"/>
      <c r="E3" s="358"/>
      <c r="F3" s="358"/>
      <c r="G3" s="359"/>
      <c r="H3" s="347" t="s">
        <v>244</v>
      </c>
      <c r="I3" s="347"/>
      <c r="J3" s="347"/>
      <c r="K3" s="363" t="str">
        <f>IF(リレーチーム情報!T5="〇","男子４×１００ｍＲ","")</f>
        <v/>
      </c>
      <c r="L3" s="364"/>
      <c r="M3" s="364"/>
      <c r="N3" s="364"/>
      <c r="O3" s="365"/>
      <c r="P3" s="373"/>
      <c r="Q3" s="346" t="s">
        <v>243</v>
      </c>
      <c r="R3" s="347"/>
      <c r="S3" s="357" t="str">
        <f>IF(リレーチーム情報!T11="〇",学校情報!$B$5,"")</f>
        <v/>
      </c>
      <c r="T3" s="358"/>
      <c r="U3" s="358"/>
      <c r="V3" s="358"/>
      <c r="W3" s="359"/>
      <c r="X3" s="347" t="s">
        <v>244</v>
      </c>
      <c r="Y3" s="347"/>
      <c r="Z3" s="347"/>
      <c r="AA3" s="363" t="str">
        <f>IF(リレーチーム情報!T11="〇","男子４×４００ｍＲ","")</f>
        <v/>
      </c>
      <c r="AB3" s="364"/>
      <c r="AC3" s="364"/>
      <c r="AD3" s="364"/>
      <c r="AE3" s="365"/>
    </row>
    <row r="4" spans="1:33" ht="15.75" customHeight="1" thickBot="1">
      <c r="A4" s="348"/>
      <c r="B4" s="321"/>
      <c r="C4" s="360"/>
      <c r="D4" s="361"/>
      <c r="E4" s="361"/>
      <c r="F4" s="361"/>
      <c r="G4" s="362"/>
      <c r="H4" s="321"/>
      <c r="I4" s="321"/>
      <c r="J4" s="321"/>
      <c r="K4" s="366"/>
      <c r="L4" s="367"/>
      <c r="M4" s="367"/>
      <c r="N4" s="367"/>
      <c r="O4" s="368"/>
      <c r="P4" s="373"/>
      <c r="Q4" s="348"/>
      <c r="R4" s="321"/>
      <c r="S4" s="360"/>
      <c r="T4" s="361"/>
      <c r="U4" s="361"/>
      <c r="V4" s="361"/>
      <c r="W4" s="362"/>
      <c r="X4" s="321"/>
      <c r="Y4" s="321"/>
      <c r="Z4" s="321"/>
      <c r="AA4" s="366"/>
      <c r="AB4" s="367"/>
      <c r="AC4" s="367"/>
      <c r="AD4" s="367"/>
      <c r="AE4" s="368"/>
    </row>
    <row r="5" spans="1:33" ht="15" customHeight="1">
      <c r="A5" s="330" t="s">
        <v>245</v>
      </c>
      <c r="B5" s="335"/>
      <c r="C5" s="334" t="str">
        <f>IF(リレーチーム情報!T5="〇",IF(リレーチーム情報!Q5="","－",リレーチーム情報!Q5),"")</f>
        <v/>
      </c>
      <c r="D5" s="335"/>
      <c r="E5" s="335"/>
      <c r="F5" s="335"/>
      <c r="G5" s="338"/>
      <c r="H5" s="335" t="s">
        <v>246</v>
      </c>
      <c r="I5" s="335"/>
      <c r="J5" s="335"/>
      <c r="K5" s="375" t="str">
        <f>IF(リレーチーム情報!T5="〇",IF(リレーチーム情報!S5="","－",リレーチーム情報!S5),"")</f>
        <v/>
      </c>
      <c r="L5" s="376"/>
      <c r="M5" s="376"/>
      <c r="N5" s="376"/>
      <c r="O5" s="377"/>
      <c r="P5" s="373"/>
      <c r="Q5" s="330" t="s">
        <v>245</v>
      </c>
      <c r="R5" s="335"/>
      <c r="S5" s="334" t="str">
        <f>IF(リレーチーム情報!T11="〇",IF(リレーチーム情報!Q11="","－",リレーチーム情報!Q11),"")</f>
        <v/>
      </c>
      <c r="T5" s="335"/>
      <c r="U5" s="335"/>
      <c r="V5" s="335"/>
      <c r="W5" s="338"/>
      <c r="X5" s="335" t="s">
        <v>246</v>
      </c>
      <c r="Y5" s="335"/>
      <c r="Z5" s="335"/>
      <c r="AA5" s="375" t="str">
        <f>IF(リレーチーム情報!T11="〇",IF(リレーチーム情報!S11="","－",リレーチーム情報!S11),"")</f>
        <v/>
      </c>
      <c r="AB5" s="376"/>
      <c r="AC5" s="376"/>
      <c r="AD5" s="376"/>
      <c r="AE5" s="377"/>
    </row>
    <row r="6" spans="1:33" ht="15.75" customHeight="1" thickBot="1">
      <c r="A6" s="332"/>
      <c r="B6" s="329"/>
      <c r="C6" s="328"/>
      <c r="D6" s="329"/>
      <c r="E6" s="329"/>
      <c r="F6" s="329"/>
      <c r="G6" s="339"/>
      <c r="H6" s="329"/>
      <c r="I6" s="329"/>
      <c r="J6" s="329"/>
      <c r="K6" s="378"/>
      <c r="L6" s="379"/>
      <c r="M6" s="379"/>
      <c r="N6" s="379"/>
      <c r="O6" s="380"/>
      <c r="P6" s="373"/>
      <c r="Q6" s="332"/>
      <c r="R6" s="329"/>
      <c r="S6" s="328"/>
      <c r="T6" s="329"/>
      <c r="U6" s="329"/>
      <c r="V6" s="329"/>
      <c r="W6" s="339"/>
      <c r="X6" s="329"/>
      <c r="Y6" s="329"/>
      <c r="Z6" s="329"/>
      <c r="AA6" s="378"/>
      <c r="AB6" s="379"/>
      <c r="AC6" s="379"/>
      <c r="AD6" s="379"/>
      <c r="AE6" s="380"/>
    </row>
    <row r="7" spans="1:33" ht="15" customHeight="1">
      <c r="A7" s="330" t="s">
        <v>247</v>
      </c>
      <c r="B7" s="331"/>
      <c r="C7" s="334" t="str">
        <f>IF(リレーチーム情報!T5="〇",IF(リレーチーム情報!R5="","－",リレーチーム情報!R5),"")</f>
        <v/>
      </c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6"/>
      <c r="P7" s="373"/>
      <c r="Q7" s="330" t="s">
        <v>247</v>
      </c>
      <c r="R7" s="331"/>
      <c r="S7" s="334" t="str">
        <f>IF(リレーチーム情報!T11="〇",IF(リレーチーム情報!R11="","－",リレーチーム情報!R11),"")</f>
        <v/>
      </c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6"/>
    </row>
    <row r="8" spans="1:33" ht="15.75" customHeight="1" thickBot="1">
      <c r="A8" s="348"/>
      <c r="B8" s="354"/>
      <c r="C8" s="355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56"/>
      <c r="P8" s="373"/>
      <c r="Q8" s="348"/>
      <c r="R8" s="354"/>
      <c r="S8" s="355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56"/>
    </row>
    <row r="9" spans="1:33" ht="18.75">
      <c r="A9" s="330" t="s">
        <v>248</v>
      </c>
      <c r="B9" s="331"/>
      <c r="C9" s="335" t="s">
        <v>249</v>
      </c>
      <c r="D9" s="335"/>
      <c r="E9" s="335"/>
      <c r="F9" s="335"/>
      <c r="G9" s="335"/>
      <c r="H9" s="335"/>
      <c r="I9" s="335"/>
      <c r="J9" s="335"/>
      <c r="K9" s="335"/>
      <c r="L9" s="342" t="s">
        <v>250</v>
      </c>
      <c r="M9" s="338"/>
      <c r="N9" s="335" t="s">
        <v>251</v>
      </c>
      <c r="O9" s="336"/>
      <c r="P9" s="373"/>
      <c r="Q9" s="330" t="s">
        <v>248</v>
      </c>
      <c r="R9" s="331"/>
      <c r="S9" s="335" t="s">
        <v>249</v>
      </c>
      <c r="T9" s="335"/>
      <c r="U9" s="335"/>
      <c r="V9" s="335"/>
      <c r="W9" s="335"/>
      <c r="X9" s="335"/>
      <c r="Y9" s="335"/>
      <c r="Z9" s="335"/>
      <c r="AA9" s="335"/>
      <c r="AB9" s="342" t="s">
        <v>250</v>
      </c>
      <c r="AC9" s="338"/>
      <c r="AD9" s="335" t="s">
        <v>251</v>
      </c>
      <c r="AE9" s="336"/>
    </row>
    <row r="10" spans="1:33" ht="19.5" thickBot="1">
      <c r="A10" s="332"/>
      <c r="B10" s="333"/>
      <c r="C10" s="344" t="s">
        <v>252</v>
      </c>
      <c r="D10" s="345"/>
      <c r="E10" s="345"/>
      <c r="F10" s="345"/>
      <c r="G10" s="345"/>
      <c r="H10" s="345"/>
      <c r="I10" s="345"/>
      <c r="J10" s="345"/>
      <c r="K10" s="345"/>
      <c r="L10" s="343"/>
      <c r="M10" s="339"/>
      <c r="N10" s="329"/>
      <c r="O10" s="337"/>
      <c r="P10" s="373"/>
      <c r="Q10" s="332"/>
      <c r="R10" s="333"/>
      <c r="S10" s="344" t="s">
        <v>252</v>
      </c>
      <c r="T10" s="345"/>
      <c r="U10" s="345"/>
      <c r="V10" s="345"/>
      <c r="W10" s="345"/>
      <c r="X10" s="345"/>
      <c r="Y10" s="345"/>
      <c r="Z10" s="345"/>
      <c r="AA10" s="345"/>
      <c r="AB10" s="343"/>
      <c r="AC10" s="339"/>
      <c r="AD10" s="329"/>
      <c r="AE10" s="337"/>
    </row>
    <row r="11" spans="1:33" ht="19.5" thickBot="1">
      <c r="A11" s="330" t="str">
        <f>IF(ISNA(AF11),"",IF(AF11&lt;&gt;"",VLOOKUP(学校情報!$B$5&amp;AF11,選手データ!A:I,3,FALSE),""))</f>
        <v/>
      </c>
      <c r="B11" s="331"/>
      <c r="C11" s="335" t="str">
        <f>IF(ISNA(AF11),"",IF(AF11&lt;&gt;"",VLOOKUP(学校情報!$B$5&amp;AF11,選手データ!A:I,5,FALSE),""))</f>
        <v/>
      </c>
      <c r="D11" s="335"/>
      <c r="E11" s="335"/>
      <c r="F11" s="335"/>
      <c r="G11" s="335"/>
      <c r="H11" s="335"/>
      <c r="I11" s="335"/>
      <c r="J11" s="335"/>
      <c r="K11" s="335"/>
      <c r="L11" s="322" t="str">
        <f>IF(ISNA(AF11),"",IF(AF11&lt;&gt;"",VLOOKUP(学校情報!$B$5&amp;AF11,選手データ!A:I,6,FALSE),""))</f>
        <v/>
      </c>
      <c r="M11" s="323"/>
      <c r="N11" s="340" t="str">
        <f>IF(ISNA(AF11),"",IF(AF11&lt;&gt;"",VLOOKUP(学校情報!$B$5&amp;AF11,選手データ!A:I,9,FALSE),""))</f>
        <v/>
      </c>
      <c r="O11" s="341"/>
      <c r="P11" s="373"/>
      <c r="Q11" s="330" t="str">
        <f>IF(ISNA(AG11),"",IF(AG11&lt;&gt;"",VLOOKUP(学校情報!$B$5&amp;AG11,選手データ!A:I,3,FALSE),""))</f>
        <v/>
      </c>
      <c r="R11" s="331"/>
      <c r="S11" s="335" t="str">
        <f>IF(ISNA(AG11),"",IF(AG11&lt;&gt;"",VLOOKUP(学校情報!$B$5&amp;AG11,選手データ!A:I,5,FALSE),""))</f>
        <v/>
      </c>
      <c r="T11" s="335"/>
      <c r="U11" s="335"/>
      <c r="V11" s="335"/>
      <c r="W11" s="335"/>
      <c r="X11" s="335"/>
      <c r="Y11" s="335"/>
      <c r="Z11" s="335"/>
      <c r="AA11" s="335"/>
      <c r="AB11" s="322" t="str">
        <f>IF(ISNA(AG11),"",IF(AG11&lt;&gt;"",VLOOKUP(学校情報!$B$5&amp;AG11,選手データ!A:I,6,FALSE),""))</f>
        <v/>
      </c>
      <c r="AC11" s="323"/>
      <c r="AD11" s="340" t="str">
        <f>IF(ISNA(AG11),"",IF(AG11&lt;&gt;"",VLOOKUP(学校情報!$B$5&amp;AG11,選手データ!A:I,9,FALSE),""))</f>
        <v/>
      </c>
      <c r="AE11" s="341"/>
      <c r="AF11" s="369" t="str">
        <f>IF(学校情報!$A$4&lt;&gt;"","",IF(リレーチーム情報!T5="〇",VLOOKUP(1,リレーチーム情報!A5:B10,2,FALSE),""))</f>
        <v/>
      </c>
      <c r="AG11" s="369" t="str">
        <f>IF(学校情報!$A$4&lt;&gt;"","",IF(リレーチーム情報!T11="〇",VLOOKUP(1,リレーチーム情報!A11:B16,2,FALSE),""))</f>
        <v/>
      </c>
    </row>
    <row r="12" spans="1:33" ht="15.75" customHeight="1" thickBot="1">
      <c r="A12" s="348"/>
      <c r="B12" s="354"/>
      <c r="C12" s="326" t="str">
        <f>IF(ISNA(AF11),"",IF(AF11&lt;&gt;"",VLOOKUP(学校情報!$B$5&amp;AF11,選手データ!A:I,4,FALSE),""))</f>
        <v/>
      </c>
      <c r="D12" s="327"/>
      <c r="E12" s="327"/>
      <c r="F12" s="327"/>
      <c r="G12" s="327"/>
      <c r="H12" s="327"/>
      <c r="I12" s="327"/>
      <c r="J12" s="327"/>
      <c r="K12" s="327"/>
      <c r="L12" s="322"/>
      <c r="M12" s="323"/>
      <c r="N12" s="340"/>
      <c r="O12" s="341"/>
      <c r="P12" s="373"/>
      <c r="Q12" s="348"/>
      <c r="R12" s="354"/>
      <c r="S12" s="326" t="str">
        <f>IF(ISNA(AG11),"",IF(AG11&lt;&gt;"",VLOOKUP(学校情報!$B$5&amp;AG11,選手データ!A:I,4,FALSE),""))</f>
        <v/>
      </c>
      <c r="T12" s="327"/>
      <c r="U12" s="327"/>
      <c r="V12" s="327"/>
      <c r="W12" s="327"/>
      <c r="X12" s="327"/>
      <c r="Y12" s="327"/>
      <c r="Z12" s="327"/>
      <c r="AA12" s="327"/>
      <c r="AB12" s="322"/>
      <c r="AC12" s="323"/>
      <c r="AD12" s="340"/>
      <c r="AE12" s="341"/>
      <c r="AF12" s="369"/>
      <c r="AG12" s="369"/>
    </row>
    <row r="13" spans="1:33" ht="15.75" customHeight="1" thickBot="1">
      <c r="A13" s="332"/>
      <c r="B13" s="333"/>
      <c r="C13" s="328"/>
      <c r="D13" s="329"/>
      <c r="E13" s="329"/>
      <c r="F13" s="329"/>
      <c r="G13" s="329"/>
      <c r="H13" s="329"/>
      <c r="I13" s="329"/>
      <c r="J13" s="329"/>
      <c r="K13" s="329"/>
      <c r="L13" s="322"/>
      <c r="M13" s="323"/>
      <c r="N13" s="340"/>
      <c r="O13" s="341"/>
      <c r="P13" s="373"/>
      <c r="Q13" s="332"/>
      <c r="R13" s="333"/>
      <c r="S13" s="328"/>
      <c r="T13" s="329"/>
      <c r="U13" s="329"/>
      <c r="V13" s="329"/>
      <c r="W13" s="329"/>
      <c r="X13" s="329"/>
      <c r="Y13" s="329"/>
      <c r="Z13" s="329"/>
      <c r="AA13" s="329"/>
      <c r="AB13" s="322"/>
      <c r="AC13" s="323"/>
      <c r="AD13" s="340"/>
      <c r="AE13" s="341"/>
      <c r="AF13" s="369"/>
      <c r="AG13" s="369"/>
    </row>
    <row r="14" spans="1:33" ht="19.5" thickBot="1">
      <c r="A14" s="330" t="str">
        <f>IF(ISNA(AF14),"",IF(AF14&lt;&gt;"",VLOOKUP(学校情報!$B$5&amp;AF14,選手データ!A:I,3,FALSE),""))</f>
        <v/>
      </c>
      <c r="B14" s="331"/>
      <c r="C14" s="321" t="str">
        <f>IF(ISNA(AF14),"",IF(AF14&lt;&gt;"",VLOOKUP(学校情報!$B$5&amp;AF14,選手データ!A:I,5,FALSE),""))</f>
        <v/>
      </c>
      <c r="D14" s="321"/>
      <c r="E14" s="321"/>
      <c r="F14" s="321"/>
      <c r="G14" s="321"/>
      <c r="H14" s="321"/>
      <c r="I14" s="321"/>
      <c r="J14" s="321"/>
      <c r="K14" s="321"/>
      <c r="L14" s="322" t="str">
        <f>IF(ISNA(AF14),"",IF(AF14&lt;&gt;"",VLOOKUP(学校情報!$B$5&amp;AF14,選手データ!A:I,6,FALSE),""))</f>
        <v/>
      </c>
      <c r="M14" s="323"/>
      <c r="N14" s="340" t="str">
        <f>IF(ISNA(AF14),"",IF(AF14&lt;&gt;"",VLOOKUP(学校情報!$B$5&amp;AF14,選手データ!A:I,9,FALSE),""))</f>
        <v/>
      </c>
      <c r="O14" s="341"/>
      <c r="P14" s="373"/>
      <c r="Q14" s="330" t="str">
        <f>IF(ISNA(AG14),"",IF(AG14&lt;&gt;"",VLOOKUP(学校情報!$B$5&amp;AG14,選手データ!A:I,3,FALSE),""))</f>
        <v/>
      </c>
      <c r="R14" s="331"/>
      <c r="S14" s="335" t="str">
        <f>IF(ISNA(AG14),"",IF(AG14&lt;&gt;"",VLOOKUP(学校情報!$B$5&amp;AG14,選手データ!A:I,5,FALSE),""))</f>
        <v/>
      </c>
      <c r="T14" s="335"/>
      <c r="U14" s="335"/>
      <c r="V14" s="335"/>
      <c r="W14" s="335"/>
      <c r="X14" s="335"/>
      <c r="Y14" s="335"/>
      <c r="Z14" s="335"/>
      <c r="AA14" s="335"/>
      <c r="AB14" s="322" t="str">
        <f>IF(ISNA(AG14),"",IF(AG14&lt;&gt;"",VLOOKUP(学校情報!$B$5&amp;AG14,選手データ!A:I,6,FALSE),""))</f>
        <v/>
      </c>
      <c r="AC14" s="323"/>
      <c r="AD14" s="340" t="str">
        <f>IF(ISNA(AG14),"",IF(AG14&lt;&gt;"",VLOOKUP(学校情報!$B$5&amp;AG14,選手データ!A:I,9,FALSE),""))</f>
        <v/>
      </c>
      <c r="AE14" s="341"/>
      <c r="AF14" s="369" t="str">
        <f>IF(学校情報!$A$4&lt;&gt;"","",IF(リレーチーム情報!T5="〇",VLOOKUP(2,リレーチーム情報!A5:B10,2,FALSE),""))</f>
        <v/>
      </c>
      <c r="AG14" s="369" t="str">
        <f>IF(学校情報!$A$4&lt;&gt;"","",IF(リレーチーム情報!T11="〇",VLOOKUP(2,リレーチーム情報!A11:B16,2,FALSE),""))</f>
        <v/>
      </c>
    </row>
    <row r="15" spans="1:33" ht="15.75" customHeight="1" thickBot="1">
      <c r="A15" s="348"/>
      <c r="B15" s="354"/>
      <c r="C15" s="326" t="str">
        <f>IF(ISNA(AF14),"",IF(AF14&lt;&gt;"",VLOOKUP(学校情報!$B$5&amp;AF14,選手データ!A:I,4,FALSE),""))</f>
        <v/>
      </c>
      <c r="D15" s="327"/>
      <c r="E15" s="327"/>
      <c r="F15" s="327"/>
      <c r="G15" s="327"/>
      <c r="H15" s="327"/>
      <c r="I15" s="327"/>
      <c r="J15" s="327"/>
      <c r="K15" s="327"/>
      <c r="L15" s="322"/>
      <c r="M15" s="323"/>
      <c r="N15" s="340"/>
      <c r="O15" s="341"/>
      <c r="P15" s="373"/>
      <c r="Q15" s="348"/>
      <c r="R15" s="354"/>
      <c r="S15" s="326" t="str">
        <f>IF(ISNA(AG14),"",IF(AG14&lt;&gt;"",VLOOKUP(学校情報!$B$5&amp;AG14,選手データ!A:I,4,FALSE),""))</f>
        <v/>
      </c>
      <c r="T15" s="327"/>
      <c r="U15" s="327"/>
      <c r="V15" s="327"/>
      <c r="W15" s="327"/>
      <c r="X15" s="327"/>
      <c r="Y15" s="327"/>
      <c r="Z15" s="327"/>
      <c r="AA15" s="327"/>
      <c r="AB15" s="322"/>
      <c r="AC15" s="323"/>
      <c r="AD15" s="340"/>
      <c r="AE15" s="341"/>
      <c r="AF15" s="369"/>
      <c r="AG15" s="369"/>
    </row>
    <row r="16" spans="1:33" ht="15.75" customHeight="1" thickBot="1">
      <c r="A16" s="332"/>
      <c r="B16" s="333"/>
      <c r="C16" s="328"/>
      <c r="D16" s="329"/>
      <c r="E16" s="329"/>
      <c r="F16" s="329"/>
      <c r="G16" s="329"/>
      <c r="H16" s="329"/>
      <c r="I16" s="329"/>
      <c r="J16" s="329"/>
      <c r="K16" s="329"/>
      <c r="L16" s="322"/>
      <c r="M16" s="323"/>
      <c r="N16" s="340"/>
      <c r="O16" s="341"/>
      <c r="P16" s="373"/>
      <c r="Q16" s="332"/>
      <c r="R16" s="333"/>
      <c r="S16" s="328"/>
      <c r="T16" s="329"/>
      <c r="U16" s="329"/>
      <c r="V16" s="329"/>
      <c r="W16" s="329"/>
      <c r="X16" s="329"/>
      <c r="Y16" s="329"/>
      <c r="Z16" s="329"/>
      <c r="AA16" s="329"/>
      <c r="AB16" s="322"/>
      <c r="AC16" s="323"/>
      <c r="AD16" s="340"/>
      <c r="AE16" s="341"/>
      <c r="AF16" s="369"/>
      <c r="AG16" s="369"/>
    </row>
    <row r="17" spans="1:33" ht="19.5" thickBot="1">
      <c r="A17" s="330" t="str">
        <f>IF(ISNA(AF17),"",IF(AF17&lt;&gt;"",VLOOKUP(学校情報!$B$5&amp;AF17,選手データ!A:I,3,FALSE),""))</f>
        <v/>
      </c>
      <c r="B17" s="331"/>
      <c r="C17" s="321" t="str">
        <f>IF(ISNA(AF17),"",IF(AF17&lt;&gt;"",VLOOKUP(学校情報!$B$5&amp;AF17,選手データ!A:I,5,FALSE),""))</f>
        <v/>
      </c>
      <c r="D17" s="321"/>
      <c r="E17" s="321"/>
      <c r="F17" s="321"/>
      <c r="G17" s="321"/>
      <c r="H17" s="321"/>
      <c r="I17" s="321"/>
      <c r="J17" s="321"/>
      <c r="K17" s="321"/>
      <c r="L17" s="322" t="str">
        <f>IF(ISNA(AF17),"",IF(AF17&lt;&gt;"",VLOOKUP(学校情報!$B$5&amp;AF17,選手データ!A:I,6,FALSE),""))</f>
        <v/>
      </c>
      <c r="M17" s="323"/>
      <c r="N17" s="340" t="str">
        <f>IF(ISNA(AF17),"",IF(AF17&lt;&gt;"",VLOOKUP(学校情報!$B$5&amp;AF17,選手データ!A:I,9,FALSE),""))</f>
        <v/>
      </c>
      <c r="O17" s="341"/>
      <c r="P17" s="373"/>
      <c r="Q17" s="330" t="str">
        <f>IF(ISNA(AG17),"",IF(AG17&lt;&gt;"",VLOOKUP(学校情報!$B$5&amp;AG17,選手データ!A:I,3,FALSE),""))</f>
        <v/>
      </c>
      <c r="R17" s="331"/>
      <c r="S17" s="335" t="str">
        <f>IF(ISNA(AG17),"",IF(AG17&lt;&gt;"",VLOOKUP(学校情報!$B$5&amp;AG17,選手データ!A:I,5,FALSE),""))</f>
        <v/>
      </c>
      <c r="T17" s="335"/>
      <c r="U17" s="335"/>
      <c r="V17" s="335"/>
      <c r="W17" s="335"/>
      <c r="X17" s="335"/>
      <c r="Y17" s="335"/>
      <c r="Z17" s="335"/>
      <c r="AA17" s="335"/>
      <c r="AB17" s="322" t="str">
        <f>IF(ISNA(AG17),"",IF(AG17&lt;&gt;"",VLOOKUP(学校情報!$B$5&amp;AG17,選手データ!A:I,6,FALSE),""))</f>
        <v/>
      </c>
      <c r="AC17" s="323"/>
      <c r="AD17" s="340" t="str">
        <f>IF(ISNA(AG17),"",IF(AG17&lt;&gt;"",VLOOKUP(学校情報!$B$5&amp;AG17,選手データ!A:I,9,FALSE),""))</f>
        <v/>
      </c>
      <c r="AE17" s="341"/>
      <c r="AF17" s="369" t="str">
        <f>IF(学校情報!$A$4&lt;&gt;"","",IF(リレーチーム情報!T5="〇",VLOOKUP(3,リレーチーム情報!A5:B10,2,FALSE),""))</f>
        <v/>
      </c>
      <c r="AG17" s="369" t="str">
        <f>IF(学校情報!$A$4&lt;&gt;"","",IF(リレーチーム情報!T11="〇",VLOOKUP(3,リレーチーム情報!A11:B16,2,FALSE),""))</f>
        <v/>
      </c>
    </row>
    <row r="18" spans="1:33" ht="15.75" customHeight="1" thickBot="1">
      <c r="A18" s="348"/>
      <c r="B18" s="354"/>
      <c r="C18" s="326" t="str">
        <f>IF(ISNA(AF17),"",IF(AF17&lt;&gt;"",VLOOKUP(学校情報!$B$5&amp;AF17,選手データ!A:I,4,FALSE),""))</f>
        <v/>
      </c>
      <c r="D18" s="327"/>
      <c r="E18" s="327"/>
      <c r="F18" s="327"/>
      <c r="G18" s="327"/>
      <c r="H18" s="327"/>
      <c r="I18" s="327"/>
      <c r="J18" s="327"/>
      <c r="K18" s="327"/>
      <c r="L18" s="322"/>
      <c r="M18" s="323"/>
      <c r="N18" s="340"/>
      <c r="O18" s="341"/>
      <c r="P18" s="373"/>
      <c r="Q18" s="348"/>
      <c r="R18" s="354"/>
      <c r="S18" s="326" t="str">
        <f>IF(ISNA(AG17),"",IF(AG17&lt;&gt;"",VLOOKUP(学校情報!$B$5&amp;AG17,選手データ!A:I,4,FALSE),""))</f>
        <v/>
      </c>
      <c r="T18" s="327"/>
      <c r="U18" s="327"/>
      <c r="V18" s="327"/>
      <c r="W18" s="327"/>
      <c r="X18" s="327"/>
      <c r="Y18" s="327"/>
      <c r="Z18" s="327"/>
      <c r="AA18" s="327"/>
      <c r="AB18" s="322"/>
      <c r="AC18" s="323"/>
      <c r="AD18" s="340"/>
      <c r="AE18" s="341"/>
      <c r="AF18" s="369"/>
      <c r="AG18" s="369"/>
    </row>
    <row r="19" spans="1:33" ht="15.75" customHeight="1" thickBot="1">
      <c r="A19" s="332"/>
      <c r="B19" s="333"/>
      <c r="C19" s="328"/>
      <c r="D19" s="329"/>
      <c r="E19" s="329"/>
      <c r="F19" s="329"/>
      <c r="G19" s="329"/>
      <c r="H19" s="329"/>
      <c r="I19" s="329"/>
      <c r="J19" s="329"/>
      <c r="K19" s="329"/>
      <c r="L19" s="322"/>
      <c r="M19" s="323"/>
      <c r="N19" s="340"/>
      <c r="O19" s="341"/>
      <c r="P19" s="373"/>
      <c r="Q19" s="332"/>
      <c r="R19" s="333"/>
      <c r="S19" s="328"/>
      <c r="T19" s="329"/>
      <c r="U19" s="329"/>
      <c r="V19" s="329"/>
      <c r="W19" s="329"/>
      <c r="X19" s="329"/>
      <c r="Y19" s="329"/>
      <c r="Z19" s="329"/>
      <c r="AA19" s="329"/>
      <c r="AB19" s="322"/>
      <c r="AC19" s="323"/>
      <c r="AD19" s="340"/>
      <c r="AE19" s="341"/>
      <c r="AF19" s="369"/>
      <c r="AG19" s="369"/>
    </row>
    <row r="20" spans="1:33" ht="19.5" thickBot="1">
      <c r="A20" s="330" t="str">
        <f>IF(ISNA(AF20),"",IF(AF20&lt;&gt;"",VLOOKUP(学校情報!$B$5&amp;AF20,選手データ!A:I,3,FALSE),""))</f>
        <v/>
      </c>
      <c r="B20" s="331"/>
      <c r="C20" s="321" t="str">
        <f>IF(ISNA(AF20),"",IF(AF20&lt;&gt;"",VLOOKUP(学校情報!$B$5&amp;AF20,選手データ!A:I,5,FALSE),""))</f>
        <v/>
      </c>
      <c r="D20" s="321"/>
      <c r="E20" s="321"/>
      <c r="F20" s="321"/>
      <c r="G20" s="321"/>
      <c r="H20" s="321"/>
      <c r="I20" s="321"/>
      <c r="J20" s="321"/>
      <c r="K20" s="321"/>
      <c r="L20" s="322" t="str">
        <f>IF(ISNA(AF20),"",IF(AF20&lt;&gt;"",VLOOKUP(学校情報!$B$5&amp;AF20,選手データ!A:I,6,FALSE),""))</f>
        <v/>
      </c>
      <c r="M20" s="323"/>
      <c r="N20" s="340" t="str">
        <f>IF(ISNA(AF20),"",IF(AF20&lt;&gt;"",VLOOKUP(学校情報!$B$5&amp;AF20,選手データ!A:I,9,FALSE),""))</f>
        <v/>
      </c>
      <c r="O20" s="341"/>
      <c r="P20" s="373"/>
      <c r="Q20" s="330" t="str">
        <f>IF(ISNA(AG20),"",IF(AG20&lt;&gt;"",VLOOKUP(学校情報!$B$5&amp;AG20,選手データ!A:I,3,FALSE),""))</f>
        <v/>
      </c>
      <c r="R20" s="331"/>
      <c r="S20" s="335" t="str">
        <f>IF(ISNA(AG20),"",IF(AG20&lt;&gt;"",VLOOKUP(学校情報!$B$5&amp;AG20,選手データ!A:I,5,FALSE),""))</f>
        <v/>
      </c>
      <c r="T20" s="335"/>
      <c r="U20" s="335"/>
      <c r="V20" s="335"/>
      <c r="W20" s="335"/>
      <c r="X20" s="335"/>
      <c r="Y20" s="335"/>
      <c r="Z20" s="335"/>
      <c r="AA20" s="335"/>
      <c r="AB20" s="322" t="str">
        <f>IF(ISNA(AG20),"",IF(AG20&lt;&gt;"",VLOOKUP(学校情報!$B$5&amp;AG20,選手データ!A:I,6,FALSE),""))</f>
        <v/>
      </c>
      <c r="AC20" s="323"/>
      <c r="AD20" s="340" t="str">
        <f>IF(ISNA(AG20),"",IF(AG20&lt;&gt;"",VLOOKUP(学校情報!$B$5&amp;AG20,選手データ!A:I,9,FALSE),""))</f>
        <v/>
      </c>
      <c r="AE20" s="341"/>
      <c r="AF20" s="369" t="str">
        <f>IF(学校情報!$A$4&lt;&gt;"","",IF(リレーチーム情報!T5="〇",VLOOKUP(4,リレーチーム情報!A5:B10,2,FALSE),""))</f>
        <v/>
      </c>
      <c r="AG20" s="369" t="str">
        <f>IF(学校情報!$A$4&lt;&gt;"","",IF(リレーチーム情報!T11="〇",VLOOKUP(4,リレーチーム情報!A11:B16,2,FALSE),""))</f>
        <v/>
      </c>
    </row>
    <row r="21" spans="1:33" ht="15.75" customHeight="1" thickBot="1">
      <c r="A21" s="348"/>
      <c r="B21" s="354"/>
      <c r="C21" s="326" t="str">
        <f>IF(ISNA(AF20),"",IF(AF20&lt;&gt;"",VLOOKUP(学校情報!$B$5&amp;AF20,選手データ!A:I,4,FALSE),""))</f>
        <v/>
      </c>
      <c r="D21" s="327"/>
      <c r="E21" s="327"/>
      <c r="F21" s="327"/>
      <c r="G21" s="327"/>
      <c r="H21" s="327"/>
      <c r="I21" s="327"/>
      <c r="J21" s="327"/>
      <c r="K21" s="327"/>
      <c r="L21" s="322"/>
      <c r="M21" s="323"/>
      <c r="N21" s="340"/>
      <c r="O21" s="341"/>
      <c r="P21" s="373"/>
      <c r="Q21" s="348"/>
      <c r="R21" s="354"/>
      <c r="S21" s="326" t="str">
        <f>IF(ISNA(AG20),"",IF(AG20&lt;&gt;"",VLOOKUP(学校情報!$B$5&amp;AG20,選手データ!A:I,4,FALSE),""))</f>
        <v/>
      </c>
      <c r="T21" s="327"/>
      <c r="U21" s="327"/>
      <c r="V21" s="327"/>
      <c r="W21" s="327"/>
      <c r="X21" s="327"/>
      <c r="Y21" s="327"/>
      <c r="Z21" s="327"/>
      <c r="AA21" s="327"/>
      <c r="AB21" s="322"/>
      <c r="AC21" s="323"/>
      <c r="AD21" s="340"/>
      <c r="AE21" s="341"/>
      <c r="AF21" s="369"/>
      <c r="AG21" s="369"/>
    </row>
    <row r="22" spans="1:33" ht="15.75" customHeight="1" thickBot="1">
      <c r="A22" s="332"/>
      <c r="B22" s="333"/>
      <c r="C22" s="328"/>
      <c r="D22" s="329"/>
      <c r="E22" s="329"/>
      <c r="F22" s="329"/>
      <c r="G22" s="329"/>
      <c r="H22" s="329"/>
      <c r="I22" s="329"/>
      <c r="J22" s="329"/>
      <c r="K22" s="329"/>
      <c r="L22" s="322"/>
      <c r="M22" s="323"/>
      <c r="N22" s="340"/>
      <c r="O22" s="341"/>
      <c r="P22" s="373"/>
      <c r="Q22" s="332"/>
      <c r="R22" s="333"/>
      <c r="S22" s="328"/>
      <c r="T22" s="329"/>
      <c r="U22" s="329"/>
      <c r="V22" s="329"/>
      <c r="W22" s="329"/>
      <c r="X22" s="329"/>
      <c r="Y22" s="329"/>
      <c r="Z22" s="329"/>
      <c r="AA22" s="329"/>
      <c r="AB22" s="322"/>
      <c r="AC22" s="323"/>
      <c r="AD22" s="340"/>
      <c r="AE22" s="341"/>
      <c r="AF22" s="369"/>
      <c r="AG22" s="369"/>
    </row>
    <row r="23" spans="1:33" ht="19.5" thickBot="1">
      <c r="A23" s="330" t="str">
        <f>IF(ISNA(AF23),"",IF(AF23&lt;&gt;"",VLOOKUP(学校情報!$B$5&amp;AF23,選手データ!A:I,3,FALSE),""))</f>
        <v/>
      </c>
      <c r="B23" s="331"/>
      <c r="C23" s="321" t="str">
        <f>IF(ISNA(AF23),"",IF(AF23&lt;&gt;"",VLOOKUP(学校情報!$B$5&amp;AF23,選手データ!A:I,5,FALSE),""))</f>
        <v/>
      </c>
      <c r="D23" s="321"/>
      <c r="E23" s="321"/>
      <c r="F23" s="321"/>
      <c r="G23" s="321"/>
      <c r="H23" s="321"/>
      <c r="I23" s="321"/>
      <c r="J23" s="321"/>
      <c r="K23" s="321"/>
      <c r="L23" s="322" t="str">
        <f>IF(ISNA(AF23),"",IF(AF23&lt;&gt;"",VLOOKUP(学校情報!$B$5&amp;AF23,選手データ!A:I,6,FALSE),""))</f>
        <v/>
      </c>
      <c r="M23" s="323"/>
      <c r="N23" s="340" t="str">
        <f>IF(ISNA(AF23),"",IF(AF23&lt;&gt;"",VLOOKUP(学校情報!$B$5&amp;AF23,選手データ!A:I,9,FALSE),""))</f>
        <v/>
      </c>
      <c r="O23" s="341"/>
      <c r="P23" s="373"/>
      <c r="Q23" s="330" t="str">
        <f>IF(ISNA(AG23),"",IF(AG23&lt;&gt;"",VLOOKUP(学校情報!$B$5&amp;AG23,選手データ!A:I,3,FALSE),""))</f>
        <v/>
      </c>
      <c r="R23" s="331"/>
      <c r="S23" s="335" t="str">
        <f>IF(ISNA(AG23),"",IF(AG23&lt;&gt;"",VLOOKUP(学校情報!$B$5&amp;AG23,選手データ!A:I,5,FALSE),""))</f>
        <v/>
      </c>
      <c r="T23" s="335"/>
      <c r="U23" s="335"/>
      <c r="V23" s="335"/>
      <c r="W23" s="335"/>
      <c r="X23" s="335"/>
      <c r="Y23" s="335"/>
      <c r="Z23" s="335"/>
      <c r="AA23" s="335"/>
      <c r="AB23" s="322" t="str">
        <f>IF(ISNA(AG23),"",IF(AG23&lt;&gt;"",VLOOKUP(学校情報!$B$5&amp;AG23,選手データ!A:I,6,FALSE),""))</f>
        <v/>
      </c>
      <c r="AC23" s="323"/>
      <c r="AD23" s="340" t="str">
        <f>IF(ISNA(AG23),"",IF(AG23&lt;&gt;"",VLOOKUP(学校情報!$B$5&amp;AG23,選手データ!A:I,9,FALSE),""))</f>
        <v/>
      </c>
      <c r="AE23" s="341"/>
      <c r="AF23" s="369" t="str">
        <f>IF(学校情報!$A$4&lt;&gt;"","",IF(リレーチーム情報!T5="〇",VLOOKUP(5,リレーチーム情報!A5:B10,2,FALSE),""))</f>
        <v/>
      </c>
      <c r="AG23" s="369" t="str">
        <f>IF(学校情報!$A$4&lt;&gt;"","",IF(リレーチーム情報!T11="〇",VLOOKUP(5,リレーチーム情報!A11:B16,2,FALSE),""))</f>
        <v/>
      </c>
    </row>
    <row r="24" spans="1:33" ht="15.75" customHeight="1" thickBot="1">
      <c r="A24" s="348"/>
      <c r="B24" s="354"/>
      <c r="C24" s="326" t="str">
        <f>IF(ISNA(AF23),"",IF(AF23&lt;&gt;"",VLOOKUP(学校情報!$B$5&amp;AF23,選手データ!A:I,4,FALSE),""))</f>
        <v/>
      </c>
      <c r="D24" s="327"/>
      <c r="E24" s="327"/>
      <c r="F24" s="327"/>
      <c r="G24" s="327"/>
      <c r="H24" s="327"/>
      <c r="I24" s="327"/>
      <c r="J24" s="327"/>
      <c r="K24" s="327"/>
      <c r="L24" s="322"/>
      <c r="M24" s="323"/>
      <c r="N24" s="340"/>
      <c r="O24" s="341"/>
      <c r="P24" s="373"/>
      <c r="Q24" s="348"/>
      <c r="R24" s="354"/>
      <c r="S24" s="326" t="str">
        <f>IF(ISNA(AG23),"",IF(AG23&lt;&gt;"",VLOOKUP(学校情報!$B$5&amp;AG23,選手データ!A:I,4,FALSE),""))</f>
        <v/>
      </c>
      <c r="T24" s="327"/>
      <c r="U24" s="327"/>
      <c r="V24" s="327"/>
      <c r="W24" s="327"/>
      <c r="X24" s="327"/>
      <c r="Y24" s="327"/>
      <c r="Z24" s="327"/>
      <c r="AA24" s="327"/>
      <c r="AB24" s="322"/>
      <c r="AC24" s="323"/>
      <c r="AD24" s="340"/>
      <c r="AE24" s="341"/>
      <c r="AF24" s="369"/>
      <c r="AG24" s="369"/>
    </row>
    <row r="25" spans="1:33" ht="15.75" customHeight="1" thickBot="1">
      <c r="A25" s="332"/>
      <c r="B25" s="333"/>
      <c r="C25" s="328"/>
      <c r="D25" s="329"/>
      <c r="E25" s="329"/>
      <c r="F25" s="329"/>
      <c r="G25" s="329"/>
      <c r="H25" s="329"/>
      <c r="I25" s="329"/>
      <c r="J25" s="329"/>
      <c r="K25" s="329"/>
      <c r="L25" s="322"/>
      <c r="M25" s="323"/>
      <c r="N25" s="340"/>
      <c r="O25" s="341"/>
      <c r="P25" s="373"/>
      <c r="Q25" s="332"/>
      <c r="R25" s="333"/>
      <c r="S25" s="328"/>
      <c r="T25" s="329"/>
      <c r="U25" s="329"/>
      <c r="V25" s="329"/>
      <c r="W25" s="329"/>
      <c r="X25" s="329"/>
      <c r="Y25" s="329"/>
      <c r="Z25" s="329"/>
      <c r="AA25" s="329"/>
      <c r="AB25" s="322"/>
      <c r="AC25" s="323"/>
      <c r="AD25" s="340"/>
      <c r="AE25" s="341"/>
      <c r="AF25" s="369"/>
      <c r="AG25" s="369"/>
    </row>
    <row r="26" spans="1:33" ht="19.5" thickBot="1">
      <c r="A26" s="330" t="str">
        <f>IF(ISNA(AF26),"",IF(AF26&lt;&gt;"",VLOOKUP(学校情報!$B$5&amp;AF26,選手データ!A:I,3,FALSE),""))</f>
        <v/>
      </c>
      <c r="B26" s="331"/>
      <c r="C26" s="321" t="str">
        <f>IF(ISNA(AF26),"",IF(AF26&lt;&gt;"",VLOOKUP(学校情報!$B$5&amp;AF26,選手データ!A:I,5,FALSE),""))</f>
        <v/>
      </c>
      <c r="D26" s="321"/>
      <c r="E26" s="321"/>
      <c r="F26" s="321"/>
      <c r="G26" s="321"/>
      <c r="H26" s="321"/>
      <c r="I26" s="321"/>
      <c r="J26" s="321"/>
      <c r="K26" s="321"/>
      <c r="L26" s="322" t="str">
        <f>IF(ISNA(AF26),"",IF(AF26&lt;&gt;"",VLOOKUP(学校情報!$B$5&amp;AF26,選手データ!A:I,6,FALSE),""))</f>
        <v/>
      </c>
      <c r="M26" s="323"/>
      <c r="N26" s="340" t="str">
        <f>IF(ISNA(AF26),"",IF(AF26&lt;&gt;"",VLOOKUP(学校情報!$B$5&amp;AF26,選手データ!A:I,9,FALSE),""))</f>
        <v/>
      </c>
      <c r="O26" s="341"/>
      <c r="P26" s="373"/>
      <c r="Q26" s="330" t="str">
        <f>IF(ISNA(AG26),"",IF(AG26&lt;&gt;"",VLOOKUP(学校情報!$B$5&amp;AG26,選手データ!A:I,3,FALSE),""))</f>
        <v/>
      </c>
      <c r="R26" s="331"/>
      <c r="S26" s="335" t="str">
        <f>IF(ISNA(AG26),"",IF(AG26&lt;&gt;"",VLOOKUP(学校情報!$B$5&amp;AG26,選手データ!A:I,5,FALSE),""))</f>
        <v/>
      </c>
      <c r="T26" s="335"/>
      <c r="U26" s="335"/>
      <c r="V26" s="335"/>
      <c r="W26" s="335"/>
      <c r="X26" s="335"/>
      <c r="Y26" s="335"/>
      <c r="Z26" s="335"/>
      <c r="AA26" s="335"/>
      <c r="AB26" s="322" t="str">
        <f>IF(ISNA(AG26),"",IF(AG26&lt;&gt;"",VLOOKUP(学校情報!$B$5&amp;AG26,選手データ!A:I,6,FALSE),""))</f>
        <v/>
      </c>
      <c r="AC26" s="323"/>
      <c r="AD26" s="340" t="str">
        <f>IF(ISNA(AG26),"",IF(AG26&lt;&gt;"",VLOOKUP(学校情報!$B$5&amp;AG26,選手データ!A:I,9,FALSE),""))</f>
        <v/>
      </c>
      <c r="AE26" s="341"/>
      <c r="AF26" s="369" t="str">
        <f>IF(学校情報!$A$4&lt;&gt;"","",IF(リレーチーム情報!T5="〇",VLOOKUP(6,リレーチーム情報!A5:B10,2,FALSE),""))</f>
        <v/>
      </c>
      <c r="AG26" s="369" t="str">
        <f>IF(学校情報!$A$4&lt;&gt;"","",IF(リレーチーム情報!T11="〇",VLOOKUP(6,リレーチーム情報!A11:B16,2,FALSE),""))</f>
        <v/>
      </c>
    </row>
    <row r="27" spans="1:33" ht="15.75" customHeight="1" thickBot="1">
      <c r="A27" s="348"/>
      <c r="B27" s="354"/>
      <c r="C27" s="326" t="str">
        <f>IF(ISNA(AF26),"",IF(AF26&lt;&gt;"",VLOOKUP(学校情報!$B$5&amp;AF26,選手データ!A:I,4,FALSE),""))</f>
        <v/>
      </c>
      <c r="D27" s="327"/>
      <c r="E27" s="327"/>
      <c r="F27" s="327"/>
      <c r="G27" s="327"/>
      <c r="H27" s="327"/>
      <c r="I27" s="327"/>
      <c r="J27" s="327"/>
      <c r="K27" s="327"/>
      <c r="L27" s="322"/>
      <c r="M27" s="323"/>
      <c r="N27" s="340"/>
      <c r="O27" s="341"/>
      <c r="P27" s="373"/>
      <c r="Q27" s="348"/>
      <c r="R27" s="354"/>
      <c r="S27" s="326" t="str">
        <f>IF(ISNA(AG26),"",IF(AG26&lt;&gt;"",VLOOKUP(学校情報!$B$5&amp;AG26,選手データ!A:I,4,FALSE),""))</f>
        <v/>
      </c>
      <c r="T27" s="327"/>
      <c r="U27" s="327"/>
      <c r="V27" s="327"/>
      <c r="W27" s="327"/>
      <c r="X27" s="327"/>
      <c r="Y27" s="327"/>
      <c r="Z27" s="327"/>
      <c r="AA27" s="327"/>
      <c r="AB27" s="322"/>
      <c r="AC27" s="323"/>
      <c r="AD27" s="340"/>
      <c r="AE27" s="341"/>
      <c r="AF27" s="369"/>
      <c r="AG27" s="369"/>
    </row>
    <row r="28" spans="1:33" ht="15.75" customHeight="1" thickBot="1">
      <c r="A28" s="370"/>
      <c r="B28" s="371"/>
      <c r="C28" s="351"/>
      <c r="D28" s="352"/>
      <c r="E28" s="352"/>
      <c r="F28" s="352"/>
      <c r="G28" s="352"/>
      <c r="H28" s="352"/>
      <c r="I28" s="352"/>
      <c r="J28" s="352"/>
      <c r="K28" s="352"/>
      <c r="L28" s="324"/>
      <c r="M28" s="325"/>
      <c r="N28" s="349"/>
      <c r="O28" s="350"/>
      <c r="P28" s="373"/>
      <c r="Q28" s="370"/>
      <c r="R28" s="371"/>
      <c r="S28" s="351"/>
      <c r="T28" s="352"/>
      <c r="U28" s="352"/>
      <c r="V28" s="352"/>
      <c r="W28" s="352"/>
      <c r="X28" s="352"/>
      <c r="Y28" s="352"/>
      <c r="Z28" s="352"/>
      <c r="AA28" s="352"/>
      <c r="AB28" s="324"/>
      <c r="AC28" s="325"/>
      <c r="AD28" s="349"/>
      <c r="AE28" s="350"/>
      <c r="AF28" s="369"/>
      <c r="AG28" s="369"/>
    </row>
    <row r="29" spans="1:33" ht="31.5" customHeight="1" thickTop="1">
      <c r="A29" s="391" t="s">
        <v>256</v>
      </c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</row>
    <row r="30" spans="1:33" ht="15" customHeight="1">
      <c r="A30" s="381" t="str">
        <f>設定!$B$1</f>
        <v>第６８回西日本学生陸上競技対校選手権大会</v>
      </c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N30" s="145"/>
      <c r="O30" s="146"/>
      <c r="P30" s="372" t="s">
        <v>258</v>
      </c>
      <c r="Q30" s="381" t="str">
        <f>設定!$B$1</f>
        <v>第６８回西日本学生陸上競技対校選手権大会</v>
      </c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D30" s="145"/>
      <c r="AE30" s="146"/>
    </row>
    <row r="31" spans="1:33" ht="15.75" customHeight="1" thickBot="1">
      <c r="A31" s="382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74" t="s">
        <v>242</v>
      </c>
      <c r="N31" s="374"/>
      <c r="O31" s="374"/>
      <c r="P31" s="373"/>
      <c r="Q31" s="393"/>
      <c r="R31" s="393"/>
      <c r="S31" s="393"/>
      <c r="T31" s="393"/>
      <c r="U31" s="393"/>
      <c r="V31" s="393"/>
      <c r="W31" s="393"/>
      <c r="X31" s="393"/>
      <c r="Y31" s="393"/>
      <c r="Z31" s="393"/>
      <c r="AA31" s="393"/>
      <c r="AB31" s="393"/>
      <c r="AC31" s="383" t="s">
        <v>242</v>
      </c>
      <c r="AD31" s="383"/>
      <c r="AE31" s="383"/>
    </row>
    <row r="32" spans="1:33" ht="15.75" customHeight="1" thickTop="1">
      <c r="A32" s="346" t="s">
        <v>253</v>
      </c>
      <c r="B32" s="347"/>
      <c r="C32" s="357" t="str">
        <f>IF(リレーチーム情報!T17="〇",学校情報!$B$5,"")</f>
        <v/>
      </c>
      <c r="D32" s="358"/>
      <c r="E32" s="358"/>
      <c r="F32" s="358"/>
      <c r="G32" s="359"/>
      <c r="H32" s="347" t="s">
        <v>254</v>
      </c>
      <c r="I32" s="347"/>
      <c r="J32" s="347"/>
      <c r="K32" s="363" t="str">
        <f>IF(リレーチーム情報!T17="〇","女子４×１００ｍＲ","")</f>
        <v/>
      </c>
      <c r="L32" s="364"/>
      <c r="M32" s="364"/>
      <c r="N32" s="364"/>
      <c r="O32" s="365"/>
      <c r="P32" s="373"/>
      <c r="Q32" s="342" t="s">
        <v>253</v>
      </c>
      <c r="R32" s="335"/>
      <c r="S32" s="384" t="str">
        <f>IF(リレーチーム情報!T23="〇",学校情報!$B$5,"")</f>
        <v/>
      </c>
      <c r="T32" s="385"/>
      <c r="U32" s="385"/>
      <c r="V32" s="385"/>
      <c r="W32" s="386"/>
      <c r="X32" s="335" t="s">
        <v>254</v>
      </c>
      <c r="Y32" s="335"/>
      <c r="Z32" s="335"/>
      <c r="AA32" s="387" t="str">
        <f>IF(リレーチーム情報!T23="〇","女子４×４００ｍＲ","")</f>
        <v/>
      </c>
      <c r="AB32" s="388"/>
      <c r="AC32" s="388"/>
      <c r="AD32" s="388"/>
      <c r="AE32" s="389"/>
    </row>
    <row r="33" spans="1:33" ht="15.75" customHeight="1" thickBot="1">
      <c r="A33" s="348"/>
      <c r="B33" s="321"/>
      <c r="C33" s="360"/>
      <c r="D33" s="361"/>
      <c r="E33" s="361"/>
      <c r="F33" s="361"/>
      <c r="G33" s="362"/>
      <c r="H33" s="321"/>
      <c r="I33" s="321"/>
      <c r="J33" s="321"/>
      <c r="K33" s="366"/>
      <c r="L33" s="367"/>
      <c r="M33" s="367"/>
      <c r="N33" s="367"/>
      <c r="O33" s="368"/>
      <c r="P33" s="373"/>
      <c r="Q33" s="353"/>
      <c r="R33" s="321"/>
      <c r="S33" s="360"/>
      <c r="T33" s="361"/>
      <c r="U33" s="361"/>
      <c r="V33" s="361"/>
      <c r="W33" s="362"/>
      <c r="X33" s="321"/>
      <c r="Y33" s="321"/>
      <c r="Z33" s="321"/>
      <c r="AA33" s="366"/>
      <c r="AB33" s="367"/>
      <c r="AC33" s="367"/>
      <c r="AD33" s="367"/>
      <c r="AE33" s="390"/>
    </row>
    <row r="34" spans="1:33" ht="15" customHeight="1">
      <c r="A34" s="330" t="s">
        <v>245</v>
      </c>
      <c r="B34" s="335"/>
      <c r="C34" s="334" t="str">
        <f>IF(リレーチーム情報!T17="〇",IF(リレーチーム情報!Q17="","－",リレーチーム情報!Q17),"")</f>
        <v/>
      </c>
      <c r="D34" s="335"/>
      <c r="E34" s="335"/>
      <c r="F34" s="335"/>
      <c r="G34" s="338"/>
      <c r="H34" s="335" t="s">
        <v>246</v>
      </c>
      <c r="I34" s="335"/>
      <c r="J34" s="335"/>
      <c r="K34" s="334" t="str">
        <f>IF(リレーチーム情報!T17="〇",IF(リレーチーム情報!S17="","－",リレーチーム情報!S17),"")</f>
        <v/>
      </c>
      <c r="L34" s="335"/>
      <c r="M34" s="335"/>
      <c r="N34" s="335"/>
      <c r="O34" s="336"/>
      <c r="P34" s="373"/>
      <c r="Q34" s="342" t="s">
        <v>245</v>
      </c>
      <c r="R34" s="335"/>
      <c r="S34" s="334" t="str">
        <f>IF(リレーチーム情報!T23="〇",IF(リレーチーム情報!Q23="","－",リレーチーム情報!Q23),"")</f>
        <v/>
      </c>
      <c r="T34" s="335"/>
      <c r="U34" s="335"/>
      <c r="V34" s="335"/>
      <c r="W34" s="338"/>
      <c r="X34" s="335" t="s">
        <v>246</v>
      </c>
      <c r="Y34" s="335"/>
      <c r="Z34" s="335"/>
      <c r="AA34" s="334" t="str">
        <f>IF(リレーチーム情報!T23="〇",IF(リレーチーム情報!S23="","－",リレーチーム情報!S23),"")</f>
        <v/>
      </c>
      <c r="AB34" s="335"/>
      <c r="AC34" s="335"/>
      <c r="AD34" s="335"/>
      <c r="AE34" s="338"/>
    </row>
    <row r="35" spans="1:33" ht="15.75" customHeight="1" thickBot="1">
      <c r="A35" s="332"/>
      <c r="B35" s="329"/>
      <c r="C35" s="328"/>
      <c r="D35" s="329"/>
      <c r="E35" s="329"/>
      <c r="F35" s="329"/>
      <c r="G35" s="339"/>
      <c r="H35" s="329"/>
      <c r="I35" s="329"/>
      <c r="J35" s="329"/>
      <c r="K35" s="328"/>
      <c r="L35" s="329"/>
      <c r="M35" s="329"/>
      <c r="N35" s="329"/>
      <c r="O35" s="337"/>
      <c r="P35" s="373"/>
      <c r="Q35" s="343"/>
      <c r="R35" s="329"/>
      <c r="S35" s="328"/>
      <c r="T35" s="329"/>
      <c r="U35" s="329"/>
      <c r="V35" s="329"/>
      <c r="W35" s="339"/>
      <c r="X35" s="329"/>
      <c r="Y35" s="329"/>
      <c r="Z35" s="329"/>
      <c r="AA35" s="328"/>
      <c r="AB35" s="329"/>
      <c r="AC35" s="329"/>
      <c r="AD35" s="329"/>
      <c r="AE35" s="339"/>
    </row>
    <row r="36" spans="1:33" ht="15" customHeight="1">
      <c r="A36" s="330" t="s">
        <v>247</v>
      </c>
      <c r="B36" s="331"/>
      <c r="C36" s="334" t="str">
        <f>IF(リレーチーム情報!T17="〇",IF(リレーチーム情報!R17="","－",リレーチーム情報!R17),"")</f>
        <v/>
      </c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6"/>
      <c r="P36" s="373"/>
      <c r="Q36" s="342" t="s">
        <v>247</v>
      </c>
      <c r="R36" s="331"/>
      <c r="S36" s="334" t="str">
        <f>IF(リレーチーム情報!T23="〇",IF(リレーチーム情報!R23="","－",リレーチーム情報!R23),"")</f>
        <v/>
      </c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5"/>
      <c r="AE36" s="338"/>
    </row>
    <row r="37" spans="1:33" ht="15.75" customHeight="1" thickBot="1">
      <c r="A37" s="348"/>
      <c r="B37" s="354"/>
      <c r="C37" s="355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56"/>
      <c r="P37" s="373"/>
      <c r="Q37" s="353"/>
      <c r="R37" s="354"/>
      <c r="S37" s="355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92"/>
    </row>
    <row r="38" spans="1:33" ht="18.75">
      <c r="A38" s="330" t="s">
        <v>248</v>
      </c>
      <c r="B38" s="331"/>
      <c r="C38" s="335" t="s">
        <v>249</v>
      </c>
      <c r="D38" s="335"/>
      <c r="E38" s="335"/>
      <c r="F38" s="335"/>
      <c r="G38" s="335"/>
      <c r="H38" s="335"/>
      <c r="I38" s="335"/>
      <c r="J38" s="335"/>
      <c r="K38" s="335"/>
      <c r="L38" s="342" t="s">
        <v>250</v>
      </c>
      <c r="M38" s="338"/>
      <c r="N38" s="335" t="s">
        <v>255</v>
      </c>
      <c r="O38" s="336"/>
      <c r="P38" s="373"/>
      <c r="Q38" s="342" t="s">
        <v>248</v>
      </c>
      <c r="R38" s="331"/>
      <c r="S38" s="335" t="s">
        <v>249</v>
      </c>
      <c r="T38" s="335"/>
      <c r="U38" s="335"/>
      <c r="V38" s="335"/>
      <c r="W38" s="335"/>
      <c r="X38" s="335"/>
      <c r="Y38" s="335"/>
      <c r="Z38" s="335"/>
      <c r="AA38" s="335"/>
      <c r="AB38" s="342" t="s">
        <v>250</v>
      </c>
      <c r="AC38" s="338"/>
      <c r="AD38" s="335" t="s">
        <v>255</v>
      </c>
      <c r="AE38" s="338"/>
    </row>
    <row r="39" spans="1:33" ht="19.5" thickBot="1">
      <c r="A39" s="332"/>
      <c r="B39" s="333"/>
      <c r="C39" s="344" t="s">
        <v>252</v>
      </c>
      <c r="D39" s="345"/>
      <c r="E39" s="345"/>
      <c r="F39" s="345"/>
      <c r="G39" s="345"/>
      <c r="H39" s="345"/>
      <c r="I39" s="345"/>
      <c r="J39" s="345"/>
      <c r="K39" s="345"/>
      <c r="L39" s="343"/>
      <c r="M39" s="339"/>
      <c r="N39" s="329"/>
      <c r="O39" s="337"/>
      <c r="P39" s="373"/>
      <c r="Q39" s="343"/>
      <c r="R39" s="333"/>
      <c r="S39" s="344" t="s">
        <v>252</v>
      </c>
      <c r="T39" s="345"/>
      <c r="U39" s="345"/>
      <c r="V39" s="345"/>
      <c r="W39" s="345"/>
      <c r="X39" s="345"/>
      <c r="Y39" s="345"/>
      <c r="Z39" s="345"/>
      <c r="AA39" s="345"/>
      <c r="AB39" s="343"/>
      <c r="AC39" s="339"/>
      <c r="AD39" s="329"/>
      <c r="AE39" s="339"/>
    </row>
    <row r="40" spans="1:33" ht="19.5" thickBot="1">
      <c r="A40" s="330" t="str">
        <f>IF(ISNA(AF40),"",IF(AF40&lt;&gt;"",VLOOKUP(学校情報!$B$5&amp;AF40,選手データ!A:I,3,FALSE),""))</f>
        <v/>
      </c>
      <c r="B40" s="331"/>
      <c r="C40" s="335" t="str">
        <f>IF(ISNA(AF40),"",IF(AF40&lt;&gt;"",VLOOKUP(学校情報!$B$5&amp;AF40,選手データ!A:I,5,FALSE),""))</f>
        <v/>
      </c>
      <c r="D40" s="335"/>
      <c r="E40" s="335"/>
      <c r="F40" s="335"/>
      <c r="G40" s="335"/>
      <c r="H40" s="335"/>
      <c r="I40" s="335"/>
      <c r="J40" s="335"/>
      <c r="K40" s="335"/>
      <c r="L40" s="322" t="str">
        <f>IF(ISNA(AF40),"",IF(AF40&lt;&gt;"",VLOOKUP(学校情報!$B$5&amp;AF40,選手データ!A:I,6,FALSE),""))</f>
        <v/>
      </c>
      <c r="M40" s="323"/>
      <c r="N40" s="340" t="str">
        <f>IF(ISNA(AF40),"",IF(AF40&lt;&gt;"",VLOOKUP(学校情報!$B$5&amp;AF40,選手データ!A:I,9,FALSE),""))</f>
        <v/>
      </c>
      <c r="O40" s="341"/>
      <c r="P40" s="373"/>
      <c r="Q40" s="342" t="str">
        <f>IF(ISNA(AG40),"",IF(AG40&lt;&gt;"",VLOOKUP(学校情報!$B$5&amp;AG40,選手データ!A:I,3,FALSE),""))</f>
        <v/>
      </c>
      <c r="R40" s="331"/>
      <c r="S40" s="335" t="str">
        <f>IF(ISNA(AG40),"",IF(AG40&lt;&gt;"",VLOOKUP(学校情報!$B$5&amp;AG40,選手データ!A:I,5,FALSE),""))</f>
        <v/>
      </c>
      <c r="T40" s="335"/>
      <c r="U40" s="335"/>
      <c r="V40" s="335"/>
      <c r="W40" s="335"/>
      <c r="X40" s="335"/>
      <c r="Y40" s="335"/>
      <c r="Z40" s="335"/>
      <c r="AA40" s="335"/>
      <c r="AB40" s="322" t="str">
        <f>IF(ISNA(AG40),"",IF(AG40&lt;&gt;"",VLOOKUP(学校情報!$B$5&amp;AG40,選手データ!A:I,6,FALSE),""))</f>
        <v/>
      </c>
      <c r="AC40" s="323"/>
      <c r="AD40" s="340" t="str">
        <f>IF(ISNA(AG40),"",IF(AG40&lt;&gt;"",VLOOKUP(学校情報!$B$5&amp;AG40,選手データ!A:I,9,FALSE),""))</f>
        <v/>
      </c>
      <c r="AE40" s="323"/>
      <c r="AF40" s="369" t="str">
        <f>IF(学校情報!$A$4&lt;&gt;"","",IF(リレーチーム情報!T17="〇",VLOOKUP(1,リレーチーム情報!A17:B22,2,FALSE),""))</f>
        <v/>
      </c>
      <c r="AG40" s="369" t="str">
        <f>IF(学校情報!$A$4&lt;&gt;"","",IF(リレーチーム情報!T23="〇",VLOOKUP(1,リレーチーム情報!A23:B28,2,FALSE),""))</f>
        <v/>
      </c>
    </row>
    <row r="41" spans="1:33" ht="15" customHeight="1" thickBot="1">
      <c r="A41" s="348"/>
      <c r="B41" s="354"/>
      <c r="C41" s="326" t="str">
        <f>IF(ISNA(AF40),"",IF(AF40&lt;&gt;"",VLOOKUP(学校情報!$B$5&amp;AF40,選手データ!A:I,4,FALSE),""))</f>
        <v/>
      </c>
      <c r="D41" s="327"/>
      <c r="E41" s="327"/>
      <c r="F41" s="327"/>
      <c r="G41" s="327"/>
      <c r="H41" s="327"/>
      <c r="I41" s="327"/>
      <c r="J41" s="327"/>
      <c r="K41" s="327"/>
      <c r="L41" s="322"/>
      <c r="M41" s="323"/>
      <c r="N41" s="340"/>
      <c r="O41" s="341"/>
      <c r="P41" s="373"/>
      <c r="Q41" s="353"/>
      <c r="R41" s="354"/>
      <c r="S41" s="326" t="str">
        <f>IF(ISNA(AG40),"",IF(AG40&lt;&gt;"",VLOOKUP(学校情報!$B$5&amp;AG40,選手データ!A:I,4,FALSE),""))</f>
        <v/>
      </c>
      <c r="T41" s="327"/>
      <c r="U41" s="327"/>
      <c r="V41" s="327"/>
      <c r="W41" s="327"/>
      <c r="X41" s="327"/>
      <c r="Y41" s="327"/>
      <c r="Z41" s="327"/>
      <c r="AA41" s="327"/>
      <c r="AB41" s="322"/>
      <c r="AC41" s="323"/>
      <c r="AD41" s="340"/>
      <c r="AE41" s="323"/>
      <c r="AF41" s="369"/>
      <c r="AG41" s="369"/>
    </row>
    <row r="42" spans="1:33" ht="15.75" customHeight="1" thickBot="1">
      <c r="A42" s="332"/>
      <c r="B42" s="333"/>
      <c r="C42" s="328"/>
      <c r="D42" s="329"/>
      <c r="E42" s="329"/>
      <c r="F42" s="329"/>
      <c r="G42" s="329"/>
      <c r="H42" s="329"/>
      <c r="I42" s="329"/>
      <c r="J42" s="329"/>
      <c r="K42" s="329"/>
      <c r="L42" s="322"/>
      <c r="M42" s="323"/>
      <c r="N42" s="340"/>
      <c r="O42" s="341"/>
      <c r="P42" s="373"/>
      <c r="Q42" s="343"/>
      <c r="R42" s="333"/>
      <c r="S42" s="328"/>
      <c r="T42" s="329"/>
      <c r="U42" s="329"/>
      <c r="V42" s="329"/>
      <c r="W42" s="329"/>
      <c r="X42" s="329"/>
      <c r="Y42" s="329"/>
      <c r="Z42" s="329"/>
      <c r="AA42" s="329"/>
      <c r="AB42" s="322"/>
      <c r="AC42" s="323"/>
      <c r="AD42" s="340"/>
      <c r="AE42" s="323"/>
      <c r="AF42" s="369"/>
      <c r="AG42" s="369"/>
    </row>
    <row r="43" spans="1:33" ht="19.5" thickBot="1">
      <c r="A43" s="330" t="str">
        <f>IF(ISNA(AF43),"",IF(AF43&lt;&gt;"",VLOOKUP(学校情報!$B$5&amp;AF43,選手データ!A:I,3,FALSE),""))</f>
        <v/>
      </c>
      <c r="B43" s="331"/>
      <c r="C43" s="321" t="str">
        <f>IF(ISNA(AF43),"",IF(AF43&lt;&gt;"",VLOOKUP(学校情報!$B$5&amp;AF43,選手データ!A:I,5,FALSE),""))</f>
        <v/>
      </c>
      <c r="D43" s="321"/>
      <c r="E43" s="321"/>
      <c r="F43" s="321"/>
      <c r="G43" s="321"/>
      <c r="H43" s="321"/>
      <c r="I43" s="321"/>
      <c r="J43" s="321"/>
      <c r="K43" s="321"/>
      <c r="L43" s="322" t="str">
        <f>IF(ISNA(AF43),"",IF(AF43&lt;&gt;"",VLOOKUP(学校情報!$B$5&amp;AF43,選手データ!A:I,6,FALSE),""))</f>
        <v/>
      </c>
      <c r="M43" s="323"/>
      <c r="N43" s="340" t="str">
        <f>IF(ISNA(AF43),"",IF(AF43&lt;&gt;"",VLOOKUP(学校情報!$B$5&amp;AF43,選手データ!A:I,9,FALSE),""))</f>
        <v/>
      </c>
      <c r="O43" s="341"/>
      <c r="P43" s="373"/>
      <c r="Q43" s="342" t="str">
        <f>IF(ISNA(AG43),"",IF(AG43&lt;&gt;"",VLOOKUP(学校情報!$B$5&amp;AG43,選手データ!A:I,3,FALSE),""))</f>
        <v/>
      </c>
      <c r="R43" s="331"/>
      <c r="S43" s="335" t="str">
        <f>IF(ISNA(AG43),"",IF(AG43&lt;&gt;"",VLOOKUP(学校情報!$B$5&amp;AG43,選手データ!A:I,5,FALSE),""))</f>
        <v/>
      </c>
      <c r="T43" s="335"/>
      <c r="U43" s="335"/>
      <c r="V43" s="335"/>
      <c r="W43" s="335"/>
      <c r="X43" s="335"/>
      <c r="Y43" s="335"/>
      <c r="Z43" s="335"/>
      <c r="AA43" s="335"/>
      <c r="AB43" s="322" t="str">
        <f>IF(ISNA(AG43),"",IF(AG43&lt;&gt;"",VLOOKUP(学校情報!$B$5&amp;AG43,選手データ!A:I,6,FALSE),""))</f>
        <v/>
      </c>
      <c r="AC43" s="323"/>
      <c r="AD43" s="340" t="str">
        <f>IF(ISNA(AG43),"",IF(AG43&lt;&gt;"",VLOOKUP(学校情報!$B$5&amp;AG43,選手データ!A:I,9,FALSE),""))</f>
        <v/>
      </c>
      <c r="AE43" s="323"/>
      <c r="AF43" s="369" t="str">
        <f>IF(学校情報!$A$4&lt;&gt;"","",IF(リレーチーム情報!T17="〇",VLOOKUP(2,リレーチーム情報!A17:B22,2,FALSE),""))</f>
        <v/>
      </c>
      <c r="AG43" s="369" t="str">
        <f>IF(学校情報!$A$4&lt;&gt;"","",IF(リレーチーム情報!T23="〇",VLOOKUP(2,リレーチーム情報!A23:B28,2,FALSE),""))</f>
        <v/>
      </c>
    </row>
    <row r="44" spans="1:33" ht="15" customHeight="1" thickBot="1">
      <c r="A44" s="348"/>
      <c r="B44" s="354"/>
      <c r="C44" s="326" t="str">
        <f>IF(ISNA(AF43),"",IF(AF43&lt;&gt;"",VLOOKUP(学校情報!$B$5&amp;AF43,選手データ!A:I,4,FALSE),""))</f>
        <v/>
      </c>
      <c r="D44" s="327"/>
      <c r="E44" s="327"/>
      <c r="F44" s="327"/>
      <c r="G44" s="327"/>
      <c r="H44" s="327"/>
      <c r="I44" s="327"/>
      <c r="J44" s="327"/>
      <c r="K44" s="327"/>
      <c r="L44" s="322"/>
      <c r="M44" s="323"/>
      <c r="N44" s="340"/>
      <c r="O44" s="341"/>
      <c r="P44" s="373"/>
      <c r="Q44" s="353"/>
      <c r="R44" s="354"/>
      <c r="S44" s="326" t="str">
        <f>IF(ISNA(AG43),"",IF(AG43&lt;&gt;"",VLOOKUP(学校情報!$B$5&amp;AG43,選手データ!A:I,4,FALSE),""))</f>
        <v/>
      </c>
      <c r="T44" s="327"/>
      <c r="U44" s="327"/>
      <c r="V44" s="327"/>
      <c r="W44" s="327"/>
      <c r="X44" s="327"/>
      <c r="Y44" s="327"/>
      <c r="Z44" s="327"/>
      <c r="AA44" s="327"/>
      <c r="AB44" s="322"/>
      <c r="AC44" s="323"/>
      <c r="AD44" s="340"/>
      <c r="AE44" s="323"/>
      <c r="AF44" s="369"/>
      <c r="AG44" s="369"/>
    </row>
    <row r="45" spans="1:33" ht="15.75" customHeight="1" thickBot="1">
      <c r="A45" s="332"/>
      <c r="B45" s="333"/>
      <c r="C45" s="328"/>
      <c r="D45" s="329"/>
      <c r="E45" s="329"/>
      <c r="F45" s="329"/>
      <c r="G45" s="329"/>
      <c r="H45" s="329"/>
      <c r="I45" s="329"/>
      <c r="J45" s="329"/>
      <c r="K45" s="329"/>
      <c r="L45" s="322"/>
      <c r="M45" s="323"/>
      <c r="N45" s="340"/>
      <c r="O45" s="341"/>
      <c r="P45" s="373"/>
      <c r="Q45" s="343"/>
      <c r="R45" s="333"/>
      <c r="S45" s="328"/>
      <c r="T45" s="329"/>
      <c r="U45" s="329"/>
      <c r="V45" s="329"/>
      <c r="W45" s="329"/>
      <c r="X45" s="329"/>
      <c r="Y45" s="329"/>
      <c r="Z45" s="329"/>
      <c r="AA45" s="329"/>
      <c r="AB45" s="322"/>
      <c r="AC45" s="323"/>
      <c r="AD45" s="340"/>
      <c r="AE45" s="323"/>
      <c r="AF45" s="369"/>
      <c r="AG45" s="369"/>
    </row>
    <row r="46" spans="1:33" ht="19.5" thickBot="1">
      <c r="A46" s="330" t="str">
        <f>IF(ISNA(AF46),"",IF(AF46&lt;&gt;"",VLOOKUP(学校情報!$B$5&amp;AF46,選手データ!A:I,3,FALSE),""))</f>
        <v/>
      </c>
      <c r="B46" s="331"/>
      <c r="C46" s="321" t="str">
        <f>IF(ISNA(AF46),"",IF(AF46&lt;&gt;"",VLOOKUP(学校情報!$B$5&amp;AF46,選手データ!A:I,5,FALSE),""))</f>
        <v/>
      </c>
      <c r="D46" s="321"/>
      <c r="E46" s="321"/>
      <c r="F46" s="321"/>
      <c r="G46" s="321"/>
      <c r="H46" s="321"/>
      <c r="I46" s="321"/>
      <c r="J46" s="321"/>
      <c r="K46" s="321"/>
      <c r="L46" s="322" t="str">
        <f>IF(ISNA(AF46),"",IF(AF46&lt;&gt;"",VLOOKUP(学校情報!$B$5&amp;AF46,選手データ!A:I,6,FALSE),""))</f>
        <v/>
      </c>
      <c r="M46" s="323"/>
      <c r="N46" s="340" t="str">
        <f>IF(ISNA(AF46),"",IF(AF46&lt;&gt;"",VLOOKUP(学校情報!$B$5&amp;AF46,選手データ!A:I,9,FALSE),""))</f>
        <v/>
      </c>
      <c r="O46" s="341"/>
      <c r="P46" s="373"/>
      <c r="Q46" s="342" t="str">
        <f>IF(ISNA(AG46),"",IF(AG46&lt;&gt;"",VLOOKUP(学校情報!$B$5&amp;AG46,選手データ!A:I,3,FALSE),""))</f>
        <v/>
      </c>
      <c r="R46" s="331"/>
      <c r="S46" s="335" t="str">
        <f>IF(ISNA(AG46),"",IF(AG46&lt;&gt;"",VLOOKUP(学校情報!$B$5&amp;AG46,選手データ!A:I,5,FALSE),""))</f>
        <v/>
      </c>
      <c r="T46" s="335"/>
      <c r="U46" s="335"/>
      <c r="V46" s="335"/>
      <c r="W46" s="335"/>
      <c r="X46" s="335"/>
      <c r="Y46" s="335"/>
      <c r="Z46" s="335"/>
      <c r="AA46" s="335"/>
      <c r="AB46" s="322" t="str">
        <f>IF(ISNA(AG46),"",IF(AG46&lt;&gt;"",VLOOKUP(学校情報!$B$5&amp;AG46,選手データ!A:I,6,FALSE),""))</f>
        <v/>
      </c>
      <c r="AC46" s="323"/>
      <c r="AD46" s="340" t="str">
        <f>IF(ISNA(AG46),"",IF(AG46&lt;&gt;"",VLOOKUP(学校情報!$B$5&amp;AG46,選手データ!A:I,9,FALSE),""))</f>
        <v/>
      </c>
      <c r="AE46" s="323"/>
      <c r="AF46" s="369" t="str">
        <f>IF(学校情報!$A$4&lt;&gt;"","",IF(リレーチーム情報!T17="〇",VLOOKUP(3,リレーチーム情報!A17:B22,2,FALSE),""))</f>
        <v/>
      </c>
      <c r="AG46" s="369" t="str">
        <f>IF(学校情報!$A$4&lt;&gt;"","",IF(リレーチーム情報!T23="〇",VLOOKUP(3,リレーチーム情報!A23:B28,2,FALSE),""))</f>
        <v/>
      </c>
    </row>
    <row r="47" spans="1:33" ht="15" customHeight="1" thickBot="1">
      <c r="A47" s="348"/>
      <c r="B47" s="354"/>
      <c r="C47" s="326" t="str">
        <f>IF(ISNA(AF46),"",IF(AF46&lt;&gt;"",VLOOKUP(学校情報!$B$5&amp;AF46,選手データ!A:I,4,FALSE),""))</f>
        <v/>
      </c>
      <c r="D47" s="327"/>
      <c r="E47" s="327"/>
      <c r="F47" s="327"/>
      <c r="G47" s="327"/>
      <c r="H47" s="327"/>
      <c r="I47" s="327"/>
      <c r="J47" s="327"/>
      <c r="K47" s="327"/>
      <c r="L47" s="322"/>
      <c r="M47" s="323"/>
      <c r="N47" s="340"/>
      <c r="O47" s="341"/>
      <c r="P47" s="373"/>
      <c r="Q47" s="353"/>
      <c r="R47" s="354"/>
      <c r="S47" s="326" t="str">
        <f>IF(ISNA(AG46),"",IF(AG46&lt;&gt;"",VLOOKUP(学校情報!$B$5&amp;AG46,選手データ!A:I,4,FALSE),""))</f>
        <v/>
      </c>
      <c r="T47" s="327"/>
      <c r="U47" s="327"/>
      <c r="V47" s="327"/>
      <c r="W47" s="327"/>
      <c r="X47" s="327"/>
      <c r="Y47" s="327"/>
      <c r="Z47" s="327"/>
      <c r="AA47" s="327"/>
      <c r="AB47" s="322"/>
      <c r="AC47" s="323"/>
      <c r="AD47" s="340"/>
      <c r="AE47" s="323"/>
      <c r="AF47" s="369"/>
      <c r="AG47" s="369"/>
    </row>
    <row r="48" spans="1:33" ht="15.75" customHeight="1" thickBot="1">
      <c r="A48" s="332"/>
      <c r="B48" s="333"/>
      <c r="C48" s="328"/>
      <c r="D48" s="329"/>
      <c r="E48" s="329"/>
      <c r="F48" s="329"/>
      <c r="G48" s="329"/>
      <c r="H48" s="329"/>
      <c r="I48" s="329"/>
      <c r="J48" s="329"/>
      <c r="K48" s="329"/>
      <c r="L48" s="322"/>
      <c r="M48" s="323"/>
      <c r="N48" s="340"/>
      <c r="O48" s="341"/>
      <c r="P48" s="373"/>
      <c r="Q48" s="343"/>
      <c r="R48" s="333"/>
      <c r="S48" s="328"/>
      <c r="T48" s="329"/>
      <c r="U48" s="329"/>
      <c r="V48" s="329"/>
      <c r="W48" s="329"/>
      <c r="X48" s="329"/>
      <c r="Y48" s="329"/>
      <c r="Z48" s="329"/>
      <c r="AA48" s="329"/>
      <c r="AB48" s="322"/>
      <c r="AC48" s="323"/>
      <c r="AD48" s="340"/>
      <c r="AE48" s="323"/>
      <c r="AF48" s="369"/>
      <c r="AG48" s="369"/>
    </row>
    <row r="49" spans="1:33" ht="19.5" thickBot="1">
      <c r="A49" s="330" t="str">
        <f>IF(ISNA(AF49),"",IF(AF49&lt;&gt;"",VLOOKUP(学校情報!$B$5&amp;AF49,選手データ!A:I,3,FALSE),""))</f>
        <v/>
      </c>
      <c r="B49" s="331"/>
      <c r="C49" s="321" t="str">
        <f>IF(ISNA(AF49),"",IF(AF49&lt;&gt;"",VLOOKUP(学校情報!$B$5&amp;AF49,選手データ!A:I,5,FALSE),""))</f>
        <v/>
      </c>
      <c r="D49" s="321"/>
      <c r="E49" s="321"/>
      <c r="F49" s="321"/>
      <c r="G49" s="321"/>
      <c r="H49" s="321"/>
      <c r="I49" s="321"/>
      <c r="J49" s="321"/>
      <c r="K49" s="321"/>
      <c r="L49" s="322" t="str">
        <f>IF(ISNA(AF49),"",IF(AF49&lt;&gt;"",VLOOKUP(学校情報!$B$5&amp;AF49,選手データ!A:I,6,FALSE),""))</f>
        <v/>
      </c>
      <c r="M49" s="323"/>
      <c r="N49" s="340" t="str">
        <f>IF(ISNA(AF49),"",IF(AF49&lt;&gt;"",VLOOKUP(学校情報!$B$5&amp;AF49,選手データ!A:I,9,FALSE),""))</f>
        <v/>
      </c>
      <c r="O49" s="341"/>
      <c r="P49" s="373"/>
      <c r="Q49" s="342" t="str">
        <f>IF(ISNA(AG49),"",IF(AG49&lt;&gt;"",VLOOKUP(学校情報!$B$5&amp;AG49,選手データ!A:I,3,FALSE),""))</f>
        <v/>
      </c>
      <c r="R49" s="331"/>
      <c r="S49" s="335" t="str">
        <f>IF(ISNA(AG49),"",IF(AG49&lt;&gt;"",VLOOKUP(学校情報!$B$5&amp;AG49,選手データ!A:I,5,FALSE),""))</f>
        <v/>
      </c>
      <c r="T49" s="335"/>
      <c r="U49" s="335"/>
      <c r="V49" s="335"/>
      <c r="W49" s="335"/>
      <c r="X49" s="335"/>
      <c r="Y49" s="335"/>
      <c r="Z49" s="335"/>
      <c r="AA49" s="335"/>
      <c r="AB49" s="322" t="str">
        <f>IF(ISNA(AG49),"",IF(AG49&lt;&gt;"",VLOOKUP(学校情報!$B$5&amp;AG49,選手データ!A:I,6,FALSE),""))</f>
        <v/>
      </c>
      <c r="AC49" s="323"/>
      <c r="AD49" s="340" t="str">
        <f>IF(ISNA(AG49),"",IF(AG49&lt;&gt;"",VLOOKUP(学校情報!$B$5&amp;AG49,選手データ!A:I,9,FALSE),""))</f>
        <v/>
      </c>
      <c r="AE49" s="323"/>
      <c r="AF49" s="369" t="str">
        <f>IF(学校情報!$A$4&lt;&gt;"","",IF(リレーチーム情報!T17="〇",VLOOKUP(4,リレーチーム情報!A17:B22,2,FALSE),""))</f>
        <v/>
      </c>
      <c r="AG49" s="369" t="str">
        <f>IF(学校情報!$A$4&lt;&gt;"","",IF(リレーチーム情報!T23="〇",VLOOKUP(4,リレーチーム情報!A23:B28,2,FALSE),""))</f>
        <v/>
      </c>
    </row>
    <row r="50" spans="1:33" ht="15" customHeight="1" thickBot="1">
      <c r="A50" s="348"/>
      <c r="B50" s="354"/>
      <c r="C50" s="326" t="str">
        <f>IF(ISNA(AF49),"",IF(AF49&lt;&gt;"",VLOOKUP(学校情報!$B$5&amp;AF49,選手データ!A:I,4,FALSE),""))</f>
        <v/>
      </c>
      <c r="D50" s="327"/>
      <c r="E50" s="327"/>
      <c r="F50" s="327"/>
      <c r="G50" s="327"/>
      <c r="H50" s="327"/>
      <c r="I50" s="327"/>
      <c r="J50" s="327"/>
      <c r="K50" s="327"/>
      <c r="L50" s="322"/>
      <c r="M50" s="323"/>
      <c r="N50" s="340"/>
      <c r="O50" s="341"/>
      <c r="P50" s="373"/>
      <c r="Q50" s="353"/>
      <c r="R50" s="354"/>
      <c r="S50" s="326" t="str">
        <f>IF(ISNA(AG49),"",IF(AG49&lt;&gt;"",VLOOKUP(学校情報!$B$5&amp;AG49,選手データ!A:I,4,FALSE),""))</f>
        <v/>
      </c>
      <c r="T50" s="327"/>
      <c r="U50" s="327"/>
      <c r="V50" s="327"/>
      <c r="W50" s="327"/>
      <c r="X50" s="327"/>
      <c r="Y50" s="327"/>
      <c r="Z50" s="327"/>
      <c r="AA50" s="327"/>
      <c r="AB50" s="322"/>
      <c r="AC50" s="323"/>
      <c r="AD50" s="340"/>
      <c r="AE50" s="323"/>
      <c r="AF50" s="369"/>
      <c r="AG50" s="369"/>
    </row>
    <row r="51" spans="1:33" ht="15.75" customHeight="1" thickBot="1">
      <c r="A51" s="332"/>
      <c r="B51" s="333"/>
      <c r="C51" s="328"/>
      <c r="D51" s="329"/>
      <c r="E51" s="329"/>
      <c r="F51" s="329"/>
      <c r="G51" s="329"/>
      <c r="H51" s="329"/>
      <c r="I51" s="329"/>
      <c r="J51" s="329"/>
      <c r="K51" s="329"/>
      <c r="L51" s="322"/>
      <c r="M51" s="323"/>
      <c r="N51" s="340"/>
      <c r="O51" s="341"/>
      <c r="P51" s="373"/>
      <c r="Q51" s="343"/>
      <c r="R51" s="333"/>
      <c r="S51" s="328"/>
      <c r="T51" s="329"/>
      <c r="U51" s="329"/>
      <c r="V51" s="329"/>
      <c r="W51" s="329"/>
      <c r="X51" s="329"/>
      <c r="Y51" s="329"/>
      <c r="Z51" s="329"/>
      <c r="AA51" s="329"/>
      <c r="AB51" s="322"/>
      <c r="AC51" s="323"/>
      <c r="AD51" s="340"/>
      <c r="AE51" s="323"/>
      <c r="AF51" s="369"/>
      <c r="AG51" s="369"/>
    </row>
    <row r="52" spans="1:33" ht="19.5" thickBot="1">
      <c r="A52" s="330" t="str">
        <f>IF(ISNA(AF52),"",IF(AF52&lt;&gt;"",VLOOKUP(学校情報!$B$5&amp;AF52,選手データ!A:I,3,FALSE),""))</f>
        <v/>
      </c>
      <c r="B52" s="331"/>
      <c r="C52" s="321" t="str">
        <f>IF(ISNA(AF52),"",IF(AF52&lt;&gt;"",VLOOKUP(学校情報!$B$5&amp;AF52,選手データ!A:I,5,FALSE),""))</f>
        <v/>
      </c>
      <c r="D52" s="321"/>
      <c r="E52" s="321"/>
      <c r="F52" s="321"/>
      <c r="G52" s="321"/>
      <c r="H52" s="321"/>
      <c r="I52" s="321"/>
      <c r="J52" s="321"/>
      <c r="K52" s="321"/>
      <c r="L52" s="322" t="str">
        <f>IF(ISNA(AF52),"",IF(AF52&lt;&gt;"",VLOOKUP(学校情報!$B$5&amp;AF52,選手データ!A:I,6,FALSE),""))</f>
        <v/>
      </c>
      <c r="M52" s="323"/>
      <c r="N52" s="340" t="str">
        <f>IF(ISNA(AF52),"",IF(AF52&lt;&gt;"",VLOOKUP(学校情報!$B$5&amp;AF52,選手データ!A:I,9,FALSE),""))</f>
        <v/>
      </c>
      <c r="O52" s="341"/>
      <c r="P52" s="373"/>
      <c r="Q52" s="342" t="str">
        <f>IF(ISNA(AG52),"",IF(AG52&lt;&gt;"",VLOOKUP(学校情報!$B$5&amp;AG52,選手データ!A:I,3,FALSE),""))</f>
        <v/>
      </c>
      <c r="R52" s="331"/>
      <c r="S52" s="335" t="str">
        <f>IF(ISNA(AG52),"",IF(AG52&lt;&gt;"",VLOOKUP(学校情報!$B$5&amp;AG52,選手データ!A:I,5,FALSE),""))</f>
        <v/>
      </c>
      <c r="T52" s="335"/>
      <c r="U52" s="335"/>
      <c r="V52" s="335"/>
      <c r="W52" s="335"/>
      <c r="X52" s="335"/>
      <c r="Y52" s="335"/>
      <c r="Z52" s="335"/>
      <c r="AA52" s="335"/>
      <c r="AB52" s="322" t="str">
        <f>IF(ISNA(AG52),"",IF(AG52&lt;&gt;"",VLOOKUP(学校情報!$B$5&amp;AG52,選手データ!A:I,6,FALSE),""))</f>
        <v/>
      </c>
      <c r="AC52" s="323"/>
      <c r="AD52" s="340" t="str">
        <f>IF(ISNA(AG52),"",IF(AG52&lt;&gt;"",VLOOKUP(学校情報!$B$5&amp;AG52,選手データ!A:I,9,FALSE),""))</f>
        <v/>
      </c>
      <c r="AE52" s="323"/>
      <c r="AF52" s="369" t="str">
        <f>IF(学校情報!$A$4&lt;&gt;"","",IF(リレーチーム情報!T17="〇",VLOOKUP(5,リレーチーム情報!A17:B22,2,FALSE),""))</f>
        <v/>
      </c>
      <c r="AG52" s="369" t="str">
        <f>IF(学校情報!$A$4&lt;&gt;"","",IF(リレーチーム情報!T23="〇",VLOOKUP(5,リレーチーム情報!A23:B28,2,FALSE),""))</f>
        <v/>
      </c>
    </row>
    <row r="53" spans="1:33" ht="15" customHeight="1" thickBot="1">
      <c r="A53" s="348"/>
      <c r="B53" s="354"/>
      <c r="C53" s="326" t="str">
        <f>IF(ISNA(AF52),"",IF(AF52&lt;&gt;"",VLOOKUP(学校情報!$B$5&amp;AF52,選手データ!A:I,4,FALSE),""))</f>
        <v/>
      </c>
      <c r="D53" s="327"/>
      <c r="E53" s="327"/>
      <c r="F53" s="327"/>
      <c r="G53" s="327"/>
      <c r="H53" s="327"/>
      <c r="I53" s="327"/>
      <c r="J53" s="327"/>
      <c r="K53" s="327"/>
      <c r="L53" s="322"/>
      <c r="M53" s="323"/>
      <c r="N53" s="340"/>
      <c r="O53" s="341"/>
      <c r="P53" s="373"/>
      <c r="Q53" s="353"/>
      <c r="R53" s="354"/>
      <c r="S53" s="326" t="str">
        <f>IF(ISNA(AG52),"",IF(AG52&lt;&gt;"",VLOOKUP(学校情報!$B$5&amp;AG52,選手データ!A:I,4,FALSE),""))</f>
        <v/>
      </c>
      <c r="T53" s="327"/>
      <c r="U53" s="327"/>
      <c r="V53" s="327"/>
      <c r="W53" s="327"/>
      <c r="X53" s="327"/>
      <c r="Y53" s="327"/>
      <c r="Z53" s="327"/>
      <c r="AA53" s="327"/>
      <c r="AB53" s="322"/>
      <c r="AC53" s="323"/>
      <c r="AD53" s="340"/>
      <c r="AE53" s="323"/>
      <c r="AF53" s="369"/>
      <c r="AG53" s="369"/>
    </row>
    <row r="54" spans="1:33" ht="15.75" customHeight="1" thickBot="1">
      <c r="A54" s="332"/>
      <c r="B54" s="333"/>
      <c r="C54" s="328"/>
      <c r="D54" s="329"/>
      <c r="E54" s="329"/>
      <c r="F54" s="329"/>
      <c r="G54" s="329"/>
      <c r="H54" s="329"/>
      <c r="I54" s="329"/>
      <c r="J54" s="329"/>
      <c r="K54" s="329"/>
      <c r="L54" s="322"/>
      <c r="M54" s="323"/>
      <c r="N54" s="340"/>
      <c r="O54" s="341"/>
      <c r="P54" s="373"/>
      <c r="Q54" s="343"/>
      <c r="R54" s="333"/>
      <c r="S54" s="328"/>
      <c r="T54" s="329"/>
      <c r="U54" s="329"/>
      <c r="V54" s="329"/>
      <c r="W54" s="329"/>
      <c r="X54" s="329"/>
      <c r="Y54" s="329"/>
      <c r="Z54" s="329"/>
      <c r="AA54" s="329"/>
      <c r="AB54" s="322"/>
      <c r="AC54" s="323"/>
      <c r="AD54" s="340"/>
      <c r="AE54" s="323"/>
      <c r="AF54" s="369"/>
      <c r="AG54" s="369"/>
    </row>
    <row r="55" spans="1:33" ht="19.5" thickBot="1">
      <c r="A55" s="330" t="str">
        <f>IF(ISNA(AF55),"",IF(AF55&lt;&gt;"",VLOOKUP(学校情報!$B$5&amp;AF55,選手データ!A:I,3,FALSE),""))</f>
        <v/>
      </c>
      <c r="B55" s="331"/>
      <c r="C55" s="321" t="str">
        <f>IF(ISNA(AF55),"",IF(AF55&lt;&gt;"",VLOOKUP(学校情報!$B$5&amp;AF55,選手データ!A:I,5,FALSE),""))</f>
        <v/>
      </c>
      <c r="D55" s="321"/>
      <c r="E55" s="321"/>
      <c r="F55" s="321"/>
      <c r="G55" s="321"/>
      <c r="H55" s="321"/>
      <c r="I55" s="321"/>
      <c r="J55" s="321"/>
      <c r="K55" s="321"/>
      <c r="L55" s="322" t="str">
        <f>IF(ISNA(AF55),"",IF(AF55&lt;&gt;"",VLOOKUP(学校情報!$B$5&amp;AF55,選手データ!A:I,6,FALSE),""))</f>
        <v/>
      </c>
      <c r="M55" s="323"/>
      <c r="N55" s="340" t="str">
        <f>IF(ISNA(AF55),"",IF(AF55&lt;&gt;"",VLOOKUP(学校情報!$B$5&amp;AF55,選手データ!A:I,9,FALSE),""))</f>
        <v/>
      </c>
      <c r="O55" s="341"/>
      <c r="P55" s="373"/>
      <c r="Q55" s="342" t="str">
        <f>IF(ISNA(AG55),"",IF(AG55&lt;&gt;"",VLOOKUP(学校情報!$B$5&amp;AG55,選手データ!A:I,3,FALSE),""))</f>
        <v/>
      </c>
      <c r="R55" s="331"/>
      <c r="S55" s="335" t="str">
        <f>IF(ISNA(AG55),"",IF(AG55&lt;&gt;"",VLOOKUP(学校情報!$B$5&amp;AG55,選手データ!A:I,5,FALSE),""))</f>
        <v/>
      </c>
      <c r="T55" s="335"/>
      <c r="U55" s="335"/>
      <c r="V55" s="335"/>
      <c r="W55" s="335"/>
      <c r="X55" s="335"/>
      <c r="Y55" s="335"/>
      <c r="Z55" s="335"/>
      <c r="AA55" s="335"/>
      <c r="AB55" s="322" t="str">
        <f>IF(ISNA(AG55),"",IF(AG55&lt;&gt;"",VLOOKUP(学校情報!$B$5&amp;AG55,選手データ!A:I,6,FALSE),""))</f>
        <v/>
      </c>
      <c r="AC55" s="323"/>
      <c r="AD55" s="340" t="str">
        <f>IF(ISNA(AG55),"",IF(AG55&lt;&gt;"",VLOOKUP(学校情報!$B$5&amp;AG55,選手データ!A:I,9,FALSE),""))</f>
        <v/>
      </c>
      <c r="AE55" s="323"/>
      <c r="AF55" s="369" t="str">
        <f>IF(学校情報!$A$4&lt;&gt;"","",IF(リレーチーム情報!T17="〇",VLOOKUP(6,リレーチーム情報!A17:B22,2,FALSE),""))</f>
        <v/>
      </c>
      <c r="AG55" s="369" t="str">
        <f>IF(学校情報!$A$4&lt;&gt;"","",IF(リレーチーム情報!T23="〇",VLOOKUP(6,リレーチーム情報!A23:B28,2,FALSE),""))</f>
        <v/>
      </c>
    </row>
    <row r="56" spans="1:33" ht="15" customHeight="1" thickBot="1">
      <c r="A56" s="348"/>
      <c r="B56" s="354"/>
      <c r="C56" s="326" t="str">
        <f>IF(ISNA(AF55),"",IF(AF55&lt;&gt;"",VLOOKUP(学校情報!$B$5&amp;AF55,選手データ!A:I,4,FALSE),""))</f>
        <v/>
      </c>
      <c r="D56" s="327"/>
      <c r="E56" s="327"/>
      <c r="F56" s="327"/>
      <c r="G56" s="327"/>
      <c r="H56" s="327"/>
      <c r="I56" s="327"/>
      <c r="J56" s="327"/>
      <c r="K56" s="327"/>
      <c r="L56" s="322"/>
      <c r="M56" s="323"/>
      <c r="N56" s="340"/>
      <c r="O56" s="341"/>
      <c r="P56" s="373"/>
      <c r="Q56" s="353"/>
      <c r="R56" s="354"/>
      <c r="S56" s="326" t="str">
        <f>IF(ISNA(AG55),"",IF(AG55&lt;&gt;"",VLOOKUP(学校情報!$B$5&amp;AG55,選手データ!A:I,4,FALSE),""))</f>
        <v/>
      </c>
      <c r="T56" s="327"/>
      <c r="U56" s="327"/>
      <c r="V56" s="327"/>
      <c r="W56" s="327"/>
      <c r="X56" s="327"/>
      <c r="Y56" s="327"/>
      <c r="Z56" s="327"/>
      <c r="AA56" s="327"/>
      <c r="AB56" s="322"/>
      <c r="AC56" s="323"/>
      <c r="AD56" s="340"/>
      <c r="AE56" s="323"/>
      <c r="AF56" s="369"/>
      <c r="AG56" s="369"/>
    </row>
    <row r="57" spans="1:33" ht="15.75" customHeight="1" thickBot="1">
      <c r="A57" s="370"/>
      <c r="B57" s="371"/>
      <c r="C57" s="351"/>
      <c r="D57" s="352"/>
      <c r="E57" s="352"/>
      <c r="F57" s="352"/>
      <c r="G57" s="352"/>
      <c r="H57" s="352"/>
      <c r="I57" s="352"/>
      <c r="J57" s="352"/>
      <c r="K57" s="352"/>
      <c r="L57" s="324"/>
      <c r="M57" s="325"/>
      <c r="N57" s="349"/>
      <c r="O57" s="350"/>
      <c r="P57" s="373"/>
      <c r="Q57" s="343"/>
      <c r="R57" s="333"/>
      <c r="S57" s="328"/>
      <c r="T57" s="329"/>
      <c r="U57" s="329"/>
      <c r="V57" s="329"/>
      <c r="W57" s="329"/>
      <c r="X57" s="329"/>
      <c r="Y57" s="329"/>
      <c r="Z57" s="329"/>
      <c r="AA57" s="329"/>
      <c r="AB57" s="322"/>
      <c r="AC57" s="323"/>
      <c r="AD57" s="340"/>
      <c r="AE57" s="323"/>
      <c r="AF57" s="369"/>
      <c r="AG57" s="369"/>
    </row>
    <row r="58" spans="1:33" ht="15.75" thickTop="1"/>
  </sheetData>
  <sheetProtection password="E027" sheet="1" objects="1" scenarios="1" selectLockedCells="1"/>
  <mergeCells count="215">
    <mergeCell ref="S55:AA55"/>
    <mergeCell ref="AB55:AC57"/>
    <mergeCell ref="AD55:AE57"/>
    <mergeCell ref="S56:AA57"/>
    <mergeCell ref="Q52:R54"/>
    <mergeCell ref="S52:AA52"/>
    <mergeCell ref="AG11:AG13"/>
    <mergeCell ref="AG14:AG16"/>
    <mergeCell ref="AG17:AG19"/>
    <mergeCell ref="AG20:AG22"/>
    <mergeCell ref="AG23:AG25"/>
    <mergeCell ref="S49:AA49"/>
    <mergeCell ref="AB49:AC51"/>
    <mergeCell ref="AD49:AE51"/>
    <mergeCell ref="S50:AA51"/>
    <mergeCell ref="Q30:AB31"/>
    <mergeCell ref="AG26:AG28"/>
    <mergeCell ref="AG40:AG42"/>
    <mergeCell ref="AG43:AG45"/>
    <mergeCell ref="AB52:AC54"/>
    <mergeCell ref="AD52:AE54"/>
    <mergeCell ref="S53:AA54"/>
    <mergeCell ref="AB43:AC45"/>
    <mergeCell ref="AD43:AE45"/>
    <mergeCell ref="S44:AA45"/>
    <mergeCell ref="S46:AA46"/>
    <mergeCell ref="AB46:AC48"/>
    <mergeCell ref="AD46:AE48"/>
    <mergeCell ref="S47:AA48"/>
    <mergeCell ref="S36:AE37"/>
    <mergeCell ref="Q38:R39"/>
    <mergeCell ref="S38:AA38"/>
    <mergeCell ref="AB38:AC39"/>
    <mergeCell ref="AD38:AE39"/>
    <mergeCell ref="S39:AA39"/>
    <mergeCell ref="AB40:AC42"/>
    <mergeCell ref="AD40:AE42"/>
    <mergeCell ref="S41:AA42"/>
    <mergeCell ref="S43:AA43"/>
    <mergeCell ref="Q46:R48"/>
    <mergeCell ref="AB26:AC28"/>
    <mergeCell ref="AD26:AE28"/>
    <mergeCell ref="S27:AA28"/>
    <mergeCell ref="A40:B42"/>
    <mergeCell ref="A43:B45"/>
    <mergeCell ref="S40:AA40"/>
    <mergeCell ref="L43:M45"/>
    <mergeCell ref="N43:O45"/>
    <mergeCell ref="C43:K43"/>
    <mergeCell ref="AC31:AE31"/>
    <mergeCell ref="Q32:R33"/>
    <mergeCell ref="S32:W33"/>
    <mergeCell ref="X32:Z33"/>
    <mergeCell ref="AA32:AE33"/>
    <mergeCell ref="A29:AE29"/>
    <mergeCell ref="P30:P57"/>
    <mergeCell ref="A46:B48"/>
    <mergeCell ref="A49:B51"/>
    <mergeCell ref="N46:O48"/>
    <mergeCell ref="Q34:R35"/>
    <mergeCell ref="S34:W35"/>
    <mergeCell ref="X34:Z35"/>
    <mergeCell ref="AA34:AE35"/>
    <mergeCell ref="Q36:R37"/>
    <mergeCell ref="AG46:AG48"/>
    <mergeCell ref="AG49:AG51"/>
    <mergeCell ref="AG52:AG54"/>
    <mergeCell ref="AG55:AG57"/>
    <mergeCell ref="Q1:AB2"/>
    <mergeCell ref="AC2:AE2"/>
    <mergeCell ref="Q3:R4"/>
    <mergeCell ref="S3:W4"/>
    <mergeCell ref="X3:Z4"/>
    <mergeCell ref="AA3:AE4"/>
    <mergeCell ref="X5:Z6"/>
    <mergeCell ref="AA5:AE6"/>
    <mergeCell ref="Q11:R13"/>
    <mergeCell ref="S11:AA11"/>
    <mergeCell ref="AB11:AC13"/>
    <mergeCell ref="AD11:AE13"/>
    <mergeCell ref="S12:AA13"/>
    <mergeCell ref="Q7:R8"/>
    <mergeCell ref="S7:AE8"/>
    <mergeCell ref="Q9:R10"/>
    <mergeCell ref="AB17:AC19"/>
    <mergeCell ref="AD17:AE19"/>
    <mergeCell ref="S18:AA19"/>
    <mergeCell ref="S9:AA9"/>
    <mergeCell ref="Q23:R25"/>
    <mergeCell ref="C20:K20"/>
    <mergeCell ref="L20:M22"/>
    <mergeCell ref="N26:O28"/>
    <mergeCell ref="A30:L31"/>
    <mergeCell ref="C27:K28"/>
    <mergeCell ref="AF52:AF54"/>
    <mergeCell ref="AF55:AF57"/>
    <mergeCell ref="AF23:AF25"/>
    <mergeCell ref="AF26:AF28"/>
    <mergeCell ref="AF40:AF42"/>
    <mergeCell ref="AF43:AF45"/>
    <mergeCell ref="AF46:AF48"/>
    <mergeCell ref="AF49:AF51"/>
    <mergeCell ref="S20:AA20"/>
    <mergeCell ref="AB20:AC22"/>
    <mergeCell ref="AD20:AE22"/>
    <mergeCell ref="S21:AA22"/>
    <mergeCell ref="S23:AA23"/>
    <mergeCell ref="AB23:AC25"/>
    <mergeCell ref="AD23:AE25"/>
    <mergeCell ref="S24:AA25"/>
    <mergeCell ref="S26:AA26"/>
    <mergeCell ref="A52:B54"/>
    <mergeCell ref="A55:B57"/>
    <mergeCell ref="Q40:R42"/>
    <mergeCell ref="P1:P28"/>
    <mergeCell ref="Q17:R19"/>
    <mergeCell ref="Q20:R22"/>
    <mergeCell ref="A14:B16"/>
    <mergeCell ref="A17:B19"/>
    <mergeCell ref="A20:B22"/>
    <mergeCell ref="A23:B25"/>
    <mergeCell ref="C47:K48"/>
    <mergeCell ref="C46:K46"/>
    <mergeCell ref="Q43:R45"/>
    <mergeCell ref="Q55:R57"/>
    <mergeCell ref="M2:O2"/>
    <mergeCell ref="M31:O31"/>
    <mergeCell ref="K5:O6"/>
    <mergeCell ref="A11:B13"/>
    <mergeCell ref="A7:B8"/>
    <mergeCell ref="C9:K9"/>
    <mergeCell ref="L9:M10"/>
    <mergeCell ref="N9:O10"/>
    <mergeCell ref="C10:K10"/>
    <mergeCell ref="Q26:R28"/>
    <mergeCell ref="A36:B37"/>
    <mergeCell ref="AF17:AF19"/>
    <mergeCell ref="AF20:AF22"/>
    <mergeCell ref="AD9:AE10"/>
    <mergeCell ref="S10:AA10"/>
    <mergeCell ref="C5:G6"/>
    <mergeCell ref="A26:B28"/>
    <mergeCell ref="Q14:R16"/>
    <mergeCell ref="N17:O19"/>
    <mergeCell ref="C18:K19"/>
    <mergeCell ref="C17:K17"/>
    <mergeCell ref="L17:M19"/>
    <mergeCell ref="L14:M16"/>
    <mergeCell ref="N14:O16"/>
    <mergeCell ref="C15:K16"/>
    <mergeCell ref="C14:K14"/>
    <mergeCell ref="S14:AA14"/>
    <mergeCell ref="S17:AA17"/>
    <mergeCell ref="AB9:AC10"/>
    <mergeCell ref="AD14:AE16"/>
    <mergeCell ref="AF11:AF13"/>
    <mergeCell ref="AF14:AF16"/>
    <mergeCell ref="Q5:R6"/>
    <mergeCell ref="S5:W6"/>
    <mergeCell ref="C7:O8"/>
    <mergeCell ref="S15:AA16"/>
    <mergeCell ref="AB14:AC16"/>
    <mergeCell ref="C3:G4"/>
    <mergeCell ref="H3:J4"/>
    <mergeCell ref="K3:O4"/>
    <mergeCell ref="A5:B6"/>
    <mergeCell ref="C12:K13"/>
    <mergeCell ref="C11:K11"/>
    <mergeCell ref="L11:M13"/>
    <mergeCell ref="N11:O13"/>
    <mergeCell ref="A9:B10"/>
    <mergeCell ref="H5:J6"/>
    <mergeCell ref="C36:O37"/>
    <mergeCell ref="A32:B33"/>
    <mergeCell ref="C32:G33"/>
    <mergeCell ref="H32:J33"/>
    <mergeCell ref="K32:O33"/>
    <mergeCell ref="A34:B35"/>
    <mergeCell ref="N23:O25"/>
    <mergeCell ref="C23:K23"/>
    <mergeCell ref="L23:M25"/>
    <mergeCell ref="C24:K25"/>
    <mergeCell ref="C56:K57"/>
    <mergeCell ref="N52:O54"/>
    <mergeCell ref="N49:O51"/>
    <mergeCell ref="C50:K51"/>
    <mergeCell ref="L52:M54"/>
    <mergeCell ref="C53:K54"/>
    <mergeCell ref="C49:K49"/>
    <mergeCell ref="Q49:R51"/>
    <mergeCell ref="L49:M51"/>
    <mergeCell ref="A1:L2"/>
    <mergeCell ref="C55:K55"/>
    <mergeCell ref="L55:M57"/>
    <mergeCell ref="C52:K52"/>
    <mergeCell ref="C44:K45"/>
    <mergeCell ref="A38:B39"/>
    <mergeCell ref="L46:M48"/>
    <mergeCell ref="K34:O35"/>
    <mergeCell ref="C40:K40"/>
    <mergeCell ref="C34:G35"/>
    <mergeCell ref="H34:J35"/>
    <mergeCell ref="L40:M42"/>
    <mergeCell ref="N40:O42"/>
    <mergeCell ref="C38:K38"/>
    <mergeCell ref="L38:M39"/>
    <mergeCell ref="N38:O39"/>
    <mergeCell ref="C39:K39"/>
    <mergeCell ref="C41:K42"/>
    <mergeCell ref="C26:K26"/>
    <mergeCell ref="L26:M28"/>
    <mergeCell ref="N20:O22"/>
    <mergeCell ref="C21:K22"/>
    <mergeCell ref="A3:B4"/>
    <mergeCell ref="N55:O57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scale="88" orientation="portrait" r:id="rId1"/>
  <headerFooter alignWithMargins="0"/>
  <colBreaks count="1" manualBreakCount="1"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8"/>
  <sheetViews>
    <sheetView view="pageBreakPreview" zoomScale="85" zoomScaleNormal="100" workbookViewId="0">
      <selection activeCell="M9" sqref="M9:M11"/>
    </sheetView>
  </sheetViews>
  <sheetFormatPr defaultRowHeight="13.5"/>
  <cols>
    <col min="1" max="1" width="9.625" style="30" customWidth="1"/>
    <col min="2" max="2" width="3.25" style="16" customWidth="1"/>
    <col min="3" max="3" width="6.375" style="16" customWidth="1"/>
    <col min="4" max="4" width="14.875" style="16" customWidth="1"/>
    <col min="5" max="5" width="9.375" style="16" customWidth="1"/>
    <col min="6" max="6" width="5.25" style="16" bestFit="1" customWidth="1"/>
    <col min="7" max="7" width="9.625" style="16" customWidth="1"/>
    <col min="8" max="8" width="3.25" style="16" customWidth="1"/>
    <col min="9" max="9" width="6.375" style="16" customWidth="1"/>
    <col min="10" max="10" width="14.875" style="16" customWidth="1"/>
    <col min="11" max="11" width="9.375" style="16" customWidth="1"/>
    <col min="12" max="12" width="5.25" style="16" bestFit="1" customWidth="1"/>
    <col min="13" max="13" width="9.625" style="16" customWidth="1"/>
    <col min="14" max="14" width="3.25" style="16" customWidth="1"/>
    <col min="15" max="15" width="6.375" style="16" customWidth="1"/>
    <col min="16" max="16" width="14.875" style="16" customWidth="1"/>
    <col min="17" max="17" width="9.375" style="16" customWidth="1"/>
    <col min="18" max="18" width="5.25" style="16" bestFit="1" customWidth="1"/>
    <col min="19" max="36" width="9" hidden="1" customWidth="1"/>
    <col min="37" max="50" width="0" hidden="1" customWidth="1"/>
  </cols>
  <sheetData>
    <row r="1" spans="1:36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 t="s">
        <v>231</v>
      </c>
      <c r="R1" s="15"/>
    </row>
    <row r="2" spans="1:36" ht="24.75" thickBot="1">
      <c r="A2" s="394" t="str">
        <f>設定!B1&amp;"種目別申込表（"&amp;S2&amp;"子）"</f>
        <v>第６８回西日本学生陸上競技対校選手権大会種目別申込表（男子）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t="s">
        <v>143</v>
      </c>
    </row>
    <row r="3" spans="1:36" ht="20.25" customHeight="1" thickBot="1">
      <c r="A3" s="395" t="s">
        <v>65</v>
      </c>
      <c r="B3" s="397" t="str">
        <f>'様式Ⅰ　総括申込書'!C2</f>
        <v/>
      </c>
      <c r="C3" s="398"/>
      <c r="D3" s="398"/>
      <c r="E3" s="398"/>
      <c r="F3" s="399"/>
      <c r="G3" s="403" t="s">
        <v>131</v>
      </c>
      <c r="H3" s="404"/>
      <c r="I3" s="405"/>
      <c r="J3" s="17" t="s">
        <v>132</v>
      </c>
      <c r="K3" s="18" t="str">
        <f>IF(学校情報!$A$4&lt;&gt;"","",IF('様式Ⅰ　総括申込書'!M12-SUM('様式Ⅰ　総括申込書'!W37:W105)=0,"",'様式Ⅰ　総括申込書'!M12-SUM('様式Ⅰ　総括申込書'!W37:W105)))</f>
        <v/>
      </c>
      <c r="L3" s="19" t="s">
        <v>129</v>
      </c>
      <c r="M3" s="403" t="s">
        <v>133</v>
      </c>
      <c r="N3" s="404"/>
      <c r="O3" s="405"/>
      <c r="P3" s="20" t="s">
        <v>132</v>
      </c>
      <c r="Q3" s="18" t="str">
        <f>IF(学校情報!$A$4&lt;&gt;"","",IF('様式Ⅰ　総括申込書'!M13=0,"",'様式Ⅰ　総括申込書'!M13))</f>
        <v/>
      </c>
      <c r="R3" s="19" t="s">
        <v>129</v>
      </c>
    </row>
    <row r="4" spans="1:36" ht="20.25" customHeight="1" thickTop="1" thickBot="1">
      <c r="A4" s="396"/>
      <c r="B4" s="400"/>
      <c r="C4" s="401"/>
      <c r="D4" s="401"/>
      <c r="E4" s="401"/>
      <c r="F4" s="402"/>
      <c r="G4" s="406" t="s">
        <v>134</v>
      </c>
      <c r="H4" s="407"/>
      <c r="I4" s="408"/>
      <c r="J4" s="21" t="s">
        <v>135</v>
      </c>
      <c r="K4" s="22" t="str">
        <f>IF(学校情報!$A$4&lt;&gt;"","",IF(SUM('様式Ⅰ　総括申込書'!W37:W105)=0,"",SUM('様式Ⅰ　総括申込書'!W37:W105)))</f>
        <v/>
      </c>
      <c r="L4" s="23" t="s">
        <v>129</v>
      </c>
      <c r="M4" s="406" t="s">
        <v>136</v>
      </c>
      <c r="N4" s="407"/>
      <c r="O4" s="408"/>
      <c r="P4" s="24" t="s">
        <v>137</v>
      </c>
      <c r="Q4" s="22" t="str">
        <f>IF(学校情報!$A$4&lt;&gt;"","",IF('様式Ⅰ　総括申込書'!M14=0,"",'様式Ⅰ　総括申込書'!M14))</f>
        <v/>
      </c>
      <c r="R4" s="25" t="s">
        <v>130</v>
      </c>
    </row>
    <row r="5" spans="1:36" ht="20.25" customHeight="1" thickBot="1">
      <c r="A5" s="26" t="s">
        <v>138</v>
      </c>
      <c r="B5" s="409" t="s">
        <v>14</v>
      </c>
      <c r="C5" s="410"/>
      <c r="D5" s="28" t="s">
        <v>15</v>
      </c>
      <c r="E5" s="27" t="s">
        <v>147</v>
      </c>
      <c r="F5" s="29" t="s">
        <v>139</v>
      </c>
      <c r="G5" s="26" t="s">
        <v>138</v>
      </c>
      <c r="H5" s="409" t="s">
        <v>14</v>
      </c>
      <c r="I5" s="410"/>
      <c r="J5" s="28" t="s">
        <v>15</v>
      </c>
      <c r="K5" s="28" t="s">
        <v>148</v>
      </c>
      <c r="L5" s="29" t="s">
        <v>139</v>
      </c>
      <c r="M5" s="26" t="s">
        <v>138</v>
      </c>
      <c r="N5" s="409" t="s">
        <v>14</v>
      </c>
      <c r="O5" s="410"/>
      <c r="P5" s="28" t="s">
        <v>15</v>
      </c>
      <c r="Q5" s="28" t="s">
        <v>148</v>
      </c>
      <c r="R5" s="29" t="s">
        <v>139</v>
      </c>
    </row>
    <row r="6" spans="1:36" ht="21.95" customHeight="1">
      <c r="A6" s="395" t="str">
        <f>設定!D2</f>
        <v>100m</v>
      </c>
      <c r="B6" s="413" t="str">
        <f>IF(学校情報!$A$4&lt;&gt;"","",IF(ISNA(S6),"",S6))</f>
        <v/>
      </c>
      <c r="C6" s="414"/>
      <c r="D6" s="33" t="str">
        <f>IF(学校情報!$A$4&lt;&gt;"","",IF(ISNA(T6),"",T6))</f>
        <v/>
      </c>
      <c r="E6" s="33" t="str">
        <f>IF(学校情報!$A$4&lt;&gt;"","",IF(ISNA(U6),"",U6))</f>
        <v/>
      </c>
      <c r="F6" s="36" t="str">
        <f>IF(学校情報!$A$4&lt;&gt;"","",IF(ISNA(V6),"",V6))</f>
        <v/>
      </c>
      <c r="G6" s="395" t="str">
        <f>設定!D11</f>
        <v>400mH</v>
      </c>
      <c r="H6" s="413" t="str">
        <f>IF(学校情報!$A$4&lt;&gt;"","",IF(ISNA(Y6),"",Y6))</f>
        <v/>
      </c>
      <c r="I6" s="414"/>
      <c r="J6" s="33" t="str">
        <f>IF(学校情報!$A$4&lt;&gt;"","",IF(ISNA(Z6),"",Z6))</f>
        <v/>
      </c>
      <c r="K6" s="33" t="str">
        <f>IF(学校情報!$A$4&lt;&gt;"","",IF(ISNA(AA6),"",AA6))</f>
        <v/>
      </c>
      <c r="L6" s="36" t="str">
        <f>IF(学校情報!$A$4&lt;&gt;"","",IF(ISNA(AB6),"",AB6))</f>
        <v/>
      </c>
      <c r="M6" s="395" t="str">
        <f>設定!D17</f>
        <v>棒高跳</v>
      </c>
      <c r="N6" s="413" t="str">
        <f>IF(学校情報!$A$4&lt;&gt;"","",IF(ISNA(AE6),"",AE6))</f>
        <v/>
      </c>
      <c r="O6" s="414"/>
      <c r="P6" s="33" t="str">
        <f>IF(学校情報!$A$4&lt;&gt;"","",IF(ISNA(AF6),"",AF6))</f>
        <v/>
      </c>
      <c r="Q6" s="33" t="str">
        <f>IF(学校情報!$A$4&lt;&gt;"","",IF(ISNA(AG6),"",AG6))</f>
        <v/>
      </c>
      <c r="R6" s="36" t="str">
        <f>IF(学校情報!$A$4&lt;&gt;"","",IF(ISNA(AH6),"",AH6))</f>
        <v/>
      </c>
      <c r="S6" t="e">
        <f>VLOOKUP($S$2&amp;$A6,選手情報!$B$6:$H$119,5,FALSE)</f>
        <v>#N/A</v>
      </c>
      <c r="T6" t="e">
        <f>VLOOKUP($S$2&amp;$A6,選手情報!$B$6:$H$119,7,FALSE)</f>
        <v>#N/A</v>
      </c>
      <c r="U6" t="e">
        <f>VLOOKUP($S$2&amp;$A6,選手情報!$B$6:$P$119,15,FALSE)</f>
        <v>#N/A</v>
      </c>
      <c r="V6" t="e">
        <f>VLOOKUP($S$2&amp;$A6,選手情報!$B$6:$T$119,19,FALSE)</f>
        <v>#N/A</v>
      </c>
      <c r="W6" t="e">
        <f>VLOOKUP($S$2&amp;$A6,選手情報!$B$6:$BD$119,55,FALSE)</f>
        <v>#N/A</v>
      </c>
      <c r="Y6" t="e">
        <f>VLOOKUP($S$2&amp;$G6,選手情報!$B$6:$H$119,5,FALSE)</f>
        <v>#N/A</v>
      </c>
      <c r="Z6" t="e">
        <f>VLOOKUP($S$2&amp;$G6,選手情報!$B$6:$H$119,7,FALSE)</f>
        <v>#N/A</v>
      </c>
      <c r="AA6" t="e">
        <f>VLOOKUP($S$2&amp;$G6,選手情報!$B$6:$P$119,15,FALSE)</f>
        <v>#N/A</v>
      </c>
      <c r="AB6" t="e">
        <f>VLOOKUP($S$2&amp;$G6,選手情報!$B$6:$T$119,19,FALSE)</f>
        <v>#N/A</v>
      </c>
      <c r="AC6" t="e">
        <f>VLOOKUP($S$2&amp;$G6,選手情報!$B$6:$BD$119,55,FALSE)</f>
        <v>#N/A</v>
      </c>
      <c r="AE6" t="e">
        <f>VLOOKUP($S$2&amp;$M6,選手情報!$B$6:$H$119,5,FALSE)</f>
        <v>#N/A</v>
      </c>
      <c r="AF6" t="e">
        <f>VLOOKUP($S$2&amp;$M6,選手情報!$B$6:$H$119,7,FALSE)</f>
        <v>#N/A</v>
      </c>
      <c r="AG6" t="e">
        <f>VLOOKUP($S$2&amp;$M6,選手情報!$B$6:$P$119,15,FALSE)</f>
        <v>#N/A</v>
      </c>
      <c r="AH6" t="e">
        <f>VLOOKUP($S$2&amp;$M6,選手情報!$B$6:$T$119,19,FALSE)</f>
        <v>#N/A</v>
      </c>
      <c r="AI6" t="e">
        <f>VLOOKUP($S$2&amp;$M6,選手情報!$B$6:$BD$119,55,FALSE)</f>
        <v>#N/A</v>
      </c>
    </row>
    <row r="7" spans="1:36" ht="21.95" customHeight="1">
      <c r="A7" s="411"/>
      <c r="B7" s="415" t="str">
        <f>IF(学校情報!$A$4&lt;&gt;"","",IF(ISNA(S7),"",S7))</f>
        <v/>
      </c>
      <c r="C7" s="416"/>
      <c r="D7" s="34" t="str">
        <f>IF(学校情報!$A$4&lt;&gt;"","",IF(ISNA(T7),"",T7))</f>
        <v/>
      </c>
      <c r="E7" s="34" t="str">
        <f>IF(学校情報!$A$4&lt;&gt;"","",IF(ISNA(U7),"",U7))</f>
        <v/>
      </c>
      <c r="F7" s="37" t="str">
        <f>IF(学校情報!$A$4&lt;&gt;"","",IF(ISNA(V7),"",V7))</f>
        <v/>
      </c>
      <c r="G7" s="411"/>
      <c r="H7" s="415" t="str">
        <f>IF(学校情報!$A$4&lt;&gt;"","",IF(ISNA(Y7),"",Y7))</f>
        <v/>
      </c>
      <c r="I7" s="416"/>
      <c r="J7" s="34" t="str">
        <f>IF(学校情報!$A$4&lt;&gt;"","",IF(ISNA(Z7),"",Z7))</f>
        <v/>
      </c>
      <c r="K7" s="34" t="str">
        <f>IF(学校情報!$A$4&lt;&gt;"","",IF(ISNA(AA7),"",AA7))</f>
        <v/>
      </c>
      <c r="L7" s="37" t="str">
        <f>IF(学校情報!$A$4&lt;&gt;"","",IF(ISNA(AB7),"",AB7))</f>
        <v/>
      </c>
      <c r="M7" s="411"/>
      <c r="N7" s="415" t="str">
        <f>IF(学校情報!$A$4&lt;&gt;"","",IF(ISNA(AE7),"",AE7))</f>
        <v/>
      </c>
      <c r="O7" s="416"/>
      <c r="P7" s="34" t="str">
        <f>IF(学校情報!$A$4&lt;&gt;"","",IF(ISNA(AF7),"",AF7))</f>
        <v/>
      </c>
      <c r="Q7" s="34" t="str">
        <f>IF(学校情報!$A$4&lt;&gt;"","",IF(ISNA(AG7),"",AG7))</f>
        <v/>
      </c>
      <c r="R7" s="37" t="str">
        <f>IF(学校情報!$A$4&lt;&gt;"","",IF(ISNA(AH7),"",AH7))</f>
        <v/>
      </c>
      <c r="S7" t="e">
        <f ca="1">VLOOKUP($S$2&amp;$A6,OFFSET(選手情報!$B$6:$H$119,W6,0),5,FALSE)</f>
        <v>#N/A</v>
      </c>
      <c r="T7" t="e">
        <f ca="1">VLOOKUP($S$2&amp;$A6,OFFSET(選手情報!$B$6:$H$119,W6,0),7,FALSE)</f>
        <v>#N/A</v>
      </c>
      <c r="U7" t="e">
        <f ca="1">VLOOKUP($S$2&amp;$A6,OFFSET(選手情報!$B$6:$P$119,W6,0),15,FALSE)</f>
        <v>#N/A</v>
      </c>
      <c r="V7" t="e">
        <f ca="1">VLOOKUP($S$2&amp;$A6,OFFSET(選手情報!$B$6:$T$119,W6,0),19,FALSE)</f>
        <v>#N/A</v>
      </c>
      <c r="W7" t="e">
        <f ca="1">VLOOKUP($S$2&amp;$A6,OFFSET(選手情報!$B$6:$BD$119,W6,0),55,FALSE)</f>
        <v>#N/A</v>
      </c>
      <c r="Y7" t="e">
        <f ca="1">VLOOKUP($S$2&amp;$G6,OFFSET(選手情報!$B$6:$H$119,AC6,0),5,FALSE)</f>
        <v>#N/A</v>
      </c>
      <c r="Z7" t="e">
        <f ca="1">VLOOKUP($S$2&amp;$G6,OFFSET(選手情報!$B$6:$H$119,AC6,0),7,FALSE)</f>
        <v>#N/A</v>
      </c>
      <c r="AA7" t="e">
        <f ca="1">VLOOKUP($S$2&amp;$G6,OFFSET(選手情報!$B$6:$P$119,AC6,0),15,FALSE)</f>
        <v>#N/A</v>
      </c>
      <c r="AB7" t="e">
        <f ca="1">VLOOKUP($S$2&amp;$G6,OFFSET(選手情報!$B$6:$T$119,AC6,0),19,FALSE)</f>
        <v>#N/A</v>
      </c>
      <c r="AC7" t="e">
        <f ca="1">VLOOKUP($S$2&amp;$G6,OFFSET(選手情報!$B$6:$BD$119,AC6,0),55,FALSE)</f>
        <v>#N/A</v>
      </c>
      <c r="AE7" t="e">
        <f ca="1">VLOOKUP($S$2&amp;$M6,OFFSET(選手情報!$B$6:$H$119,AI6,0),5,FALSE)</f>
        <v>#N/A</v>
      </c>
      <c r="AF7" t="e">
        <f ca="1">VLOOKUP($S$2&amp;$M6,OFFSET(選手情報!$B$6:$H$119,AI6,0),7,FALSE)</f>
        <v>#N/A</v>
      </c>
      <c r="AG7" t="e">
        <f ca="1">VLOOKUP($S$2&amp;$M6,OFFSET(選手情報!$B$6:$P$119,AI6,0),15,FALSE)</f>
        <v>#N/A</v>
      </c>
      <c r="AH7" t="e">
        <f ca="1">VLOOKUP($S$2&amp;$M6,OFFSET(選手情報!$B$6:$T$119,AI6,0),19,FALSE)</f>
        <v>#N/A</v>
      </c>
      <c r="AI7" t="e">
        <f ca="1">VLOOKUP($S$2&amp;$M6,OFFSET(選手情報!$B$6:$BD$119,AI6,0),55,FALSE)</f>
        <v>#N/A</v>
      </c>
    </row>
    <row r="8" spans="1:36" ht="21.95" customHeight="1" thickBot="1">
      <c r="A8" s="412"/>
      <c r="B8" s="417" t="str">
        <f>IF(学校情報!$A$4&lt;&gt;"","",IF(ISNA(S8),"",S8))</f>
        <v/>
      </c>
      <c r="C8" s="418"/>
      <c r="D8" s="35" t="str">
        <f>IF(学校情報!$A$4&lt;&gt;"","",IF(ISNA(T8),"",T8))</f>
        <v/>
      </c>
      <c r="E8" s="35" t="str">
        <f>IF(学校情報!$A$4&lt;&gt;"","",IF(ISNA(U8),"",U8))</f>
        <v/>
      </c>
      <c r="F8" s="38" t="str">
        <f>IF(学校情報!$A$4&lt;&gt;"","",IF(ISNA(V8),"",V8))</f>
        <v/>
      </c>
      <c r="G8" s="396"/>
      <c r="H8" s="417" t="str">
        <f>IF(学校情報!$A$4&lt;&gt;"","",IF(ISNA(Y8),"",Y8))</f>
        <v/>
      </c>
      <c r="I8" s="418"/>
      <c r="J8" s="35" t="str">
        <f>IF(学校情報!$A$4&lt;&gt;"","",IF(ISNA(Z8),"",Z8))</f>
        <v/>
      </c>
      <c r="K8" s="35" t="str">
        <f>IF(学校情報!$A$4&lt;&gt;"","",IF(ISNA(AA8),"",AA8))</f>
        <v/>
      </c>
      <c r="L8" s="38" t="str">
        <f>IF(学校情報!$A$4&lt;&gt;"","",IF(ISNA(AB8),"",AB8))</f>
        <v/>
      </c>
      <c r="M8" s="396"/>
      <c r="N8" s="417" t="str">
        <f>IF(学校情報!$A$4&lt;&gt;"","",IF(ISNA(AE8),"",AE8))</f>
        <v/>
      </c>
      <c r="O8" s="418"/>
      <c r="P8" s="35" t="str">
        <f>IF(学校情報!$A$4&lt;&gt;"","",IF(ISNA(AF8),"",AF8))</f>
        <v/>
      </c>
      <c r="Q8" s="35" t="str">
        <f>IF(学校情報!$A$4&lt;&gt;"","",IF(ISNA(AG8),"",AG8))</f>
        <v/>
      </c>
      <c r="R8" s="38" t="str">
        <f>IF(学校情報!$A$4&lt;&gt;"","",IF(ISNA(AH8),"",AH8))</f>
        <v/>
      </c>
      <c r="S8" t="e">
        <f ca="1">VLOOKUP($S$2&amp;$A6,OFFSET(選手情報!$B$6:$H$119,W7,0),5,FALSE)</f>
        <v>#N/A</v>
      </c>
      <c r="T8" t="e">
        <f ca="1">VLOOKUP($S$2&amp;$A6,OFFSET(選手情報!$B$6:$H$119,W7,0),7,FALSE)</f>
        <v>#N/A</v>
      </c>
      <c r="U8" t="e">
        <f ca="1">VLOOKUP($S$2&amp;$A6,OFFSET(選手情報!$B$6:$P$119,W7,0),15,FALSE)</f>
        <v>#N/A</v>
      </c>
      <c r="V8" t="e">
        <f ca="1">VLOOKUP($S$2&amp;$A6,OFFSET(選手情報!$B$6:$T$119,W7,0),19,FALSE)</f>
        <v>#N/A</v>
      </c>
      <c r="W8" t="e">
        <f ca="1">VLOOKUP($S$2&amp;$A6,OFFSET(選手情報!$B$6:$BD$119,W7,0),55,FALSE)</f>
        <v>#N/A</v>
      </c>
      <c r="Y8" t="e">
        <f ca="1">VLOOKUP($S$2&amp;$G6,OFFSET(選手情報!$B$6:$H$119,AC7,0),5,FALSE)</f>
        <v>#N/A</v>
      </c>
      <c r="Z8" t="e">
        <f ca="1">VLOOKUP($S$2&amp;$G6,OFFSET(選手情報!$B$6:$H$119,AC7,0),7,FALSE)</f>
        <v>#N/A</v>
      </c>
      <c r="AA8" t="e">
        <f ca="1">VLOOKUP($S$2&amp;$G6,OFFSET(選手情報!$B$6:$P$119,AC7,0),15,FALSE)</f>
        <v>#N/A</v>
      </c>
      <c r="AB8" t="e">
        <f ca="1">VLOOKUP($S$2&amp;$G6,OFFSET(選手情報!$B$6:$T$119,AC7,0),19,FALSE)</f>
        <v>#N/A</v>
      </c>
      <c r="AC8" t="e">
        <f ca="1">VLOOKUP($S$2&amp;$G6,OFFSET(選手情報!$B$6:$BD$119,AC7,0),55,FALSE)</f>
        <v>#N/A</v>
      </c>
      <c r="AE8" t="e">
        <f ca="1">VLOOKUP($S$2&amp;$M6,OFFSET(選手情報!$B$6:$H$119,AI7,0),5,FALSE)</f>
        <v>#N/A</v>
      </c>
      <c r="AF8" t="e">
        <f ca="1">VLOOKUP($S$2&amp;$M6,OFFSET(選手情報!$B$6:$H$119,AI7,0),7,FALSE)</f>
        <v>#N/A</v>
      </c>
      <c r="AG8" t="e">
        <f ca="1">VLOOKUP($S$2&amp;$M6,OFFSET(選手情報!$B$6:$P$119,AI7,0),15,FALSE)</f>
        <v>#N/A</v>
      </c>
      <c r="AH8" t="e">
        <f ca="1">VLOOKUP($S$2&amp;$M6,OFFSET(選手情報!$B$6:$T$119,AI7,0),19,FALSE)</f>
        <v>#N/A</v>
      </c>
      <c r="AI8" t="e">
        <f ca="1">VLOOKUP($S$2&amp;$M6,OFFSET(選手情報!$B$6:$BD$119,AI7,0),55,FALSE)</f>
        <v>#N/A</v>
      </c>
    </row>
    <row r="9" spans="1:36" ht="21.95" customHeight="1">
      <c r="A9" s="403" t="str">
        <f>設定!D3</f>
        <v>200m</v>
      </c>
      <c r="B9" s="413" t="str">
        <f>IF(学校情報!$A$4&lt;&gt;"","",IF(ISNA(S9),"",S9))</f>
        <v/>
      </c>
      <c r="C9" s="414"/>
      <c r="D9" s="33" t="str">
        <f>IF(学校情報!$A$4&lt;&gt;"","",IF(ISNA(T9),"",T9))</f>
        <v/>
      </c>
      <c r="E9" s="33" t="str">
        <f>IF(学校情報!$A$4&lt;&gt;"","",IF(ISNA(U9),"",U9))</f>
        <v/>
      </c>
      <c r="F9" s="36" t="str">
        <f>IF(学校情報!$A$4&lt;&gt;"","",IF(ISNA(V9),"",V9))</f>
        <v/>
      </c>
      <c r="G9" s="395" t="str">
        <f>設定!D12</f>
        <v>3000mSC</v>
      </c>
      <c r="H9" s="413" t="str">
        <f>IF(学校情報!$A$4&lt;&gt;"","",IF(ISNA(Y9),"",Y9))</f>
        <v/>
      </c>
      <c r="I9" s="414"/>
      <c r="J9" s="33" t="str">
        <f>IF(学校情報!$A$4&lt;&gt;"","",IF(ISNA(Z9),"",Z9))</f>
        <v/>
      </c>
      <c r="K9" s="33" t="str">
        <f>IF(学校情報!$A$4&lt;&gt;"","",IF(ISNA(AA9),"",AA9))</f>
        <v/>
      </c>
      <c r="L9" s="36" t="str">
        <f>IF(学校情報!$A$4&lt;&gt;"","",IF(ISNA(AB9),"",AB9))</f>
        <v/>
      </c>
      <c r="M9" s="395" t="str">
        <f>設定!D18</f>
        <v>走幅跳</v>
      </c>
      <c r="N9" s="413" t="str">
        <f>IF(学校情報!$A$4&lt;&gt;"","",IF(ISNA(AE9),"",AE9))</f>
        <v/>
      </c>
      <c r="O9" s="414"/>
      <c r="P9" s="33" t="str">
        <f>IF(学校情報!$A$4&lt;&gt;"","",IF(ISNA(AF9),"",AF9))</f>
        <v/>
      </c>
      <c r="Q9" s="33" t="str">
        <f>IF(学校情報!$A$4&lt;&gt;"","",IF(ISNA(AG9),"",AG9))</f>
        <v/>
      </c>
      <c r="R9" s="36" t="str">
        <f>IF(学校情報!$A$4&lt;&gt;"","",IF(ISNA(AH9),"",AH9))</f>
        <v/>
      </c>
      <c r="S9" t="e">
        <f>VLOOKUP($S$2&amp;$A9,選手情報!$B$6:$H$119,5,FALSE)</f>
        <v>#N/A</v>
      </c>
      <c r="T9" t="e">
        <f>VLOOKUP($S$2&amp;$A9,選手情報!$B$6:$H$119,7,FALSE)</f>
        <v>#N/A</v>
      </c>
      <c r="U9" t="e">
        <f>VLOOKUP($S$2&amp;$A9,選手情報!$B$6:$P$119,15,FALSE)</f>
        <v>#N/A</v>
      </c>
      <c r="V9" t="e">
        <f>VLOOKUP($S$2&amp;$A9,選手情報!$B$6:$T$119,19,FALSE)</f>
        <v>#N/A</v>
      </c>
      <c r="W9" t="e">
        <f>VLOOKUP($S$2&amp;$A9,選手情報!$B$6:$BD$119,55,FALSE)</f>
        <v>#N/A</v>
      </c>
      <c r="Y9" t="e">
        <f>VLOOKUP($S$2&amp;$G9,選手情報!$B$6:$H$119,5,FALSE)</f>
        <v>#N/A</v>
      </c>
      <c r="Z9" t="e">
        <f>VLOOKUP($S$2&amp;$G9,選手情報!$B$6:$H$119,7,FALSE)</f>
        <v>#N/A</v>
      </c>
      <c r="AA9" t="e">
        <f>VLOOKUP($S$2&amp;$G9,選手情報!$B$6:$P$119,15,FALSE)</f>
        <v>#N/A</v>
      </c>
      <c r="AB9" t="e">
        <f>VLOOKUP($S$2&amp;$G9,選手情報!$B$6:$T$119,19,FALSE)</f>
        <v>#N/A</v>
      </c>
      <c r="AC9" t="e">
        <f>VLOOKUP($S$2&amp;$G9,選手情報!$B$6:$BD$119,55,FALSE)</f>
        <v>#N/A</v>
      </c>
      <c r="AE9" t="e">
        <f>VLOOKUP($S$2&amp;$M9,選手情報!$B$6:$H$119,5,FALSE)</f>
        <v>#N/A</v>
      </c>
      <c r="AF9" t="e">
        <f>VLOOKUP($S$2&amp;$M9,選手情報!$B$6:$H$119,7,FALSE)</f>
        <v>#N/A</v>
      </c>
      <c r="AG9" t="e">
        <f>VLOOKUP($S$2&amp;$M9,選手情報!$B$6:$P$119,15,FALSE)</f>
        <v>#N/A</v>
      </c>
      <c r="AH9" t="e">
        <f>VLOOKUP($S$2&amp;$M9,選手情報!$B$6:$T$119,19,FALSE)</f>
        <v>#N/A</v>
      </c>
      <c r="AI9" t="e">
        <f>VLOOKUP($S$2&amp;$M9,選手情報!$B$6:$BD$119,55,FALSE)</f>
        <v>#N/A</v>
      </c>
    </row>
    <row r="10" spans="1:36" ht="21.95" customHeight="1">
      <c r="A10" s="419"/>
      <c r="B10" s="415" t="str">
        <f>IF(学校情報!$A$4&lt;&gt;"","",IF(ISNA(S10),"",S10))</f>
        <v/>
      </c>
      <c r="C10" s="416"/>
      <c r="D10" s="34" t="str">
        <f>IF(学校情報!$A$4&lt;&gt;"","",IF(ISNA(T10),"",T10))</f>
        <v/>
      </c>
      <c r="E10" s="34" t="str">
        <f>IF(学校情報!$A$4&lt;&gt;"","",IF(ISNA(U10),"",U10))</f>
        <v/>
      </c>
      <c r="F10" s="37" t="str">
        <f>IF(学校情報!$A$4&lt;&gt;"","",IF(ISNA(V10),"",V10))</f>
        <v/>
      </c>
      <c r="G10" s="411"/>
      <c r="H10" s="415" t="str">
        <f>IF(学校情報!$A$4&lt;&gt;"","",IF(ISNA(Y10),"",Y10))</f>
        <v/>
      </c>
      <c r="I10" s="416"/>
      <c r="J10" s="34" t="str">
        <f>IF(学校情報!$A$4&lt;&gt;"","",IF(ISNA(Z10),"",Z10))</f>
        <v/>
      </c>
      <c r="K10" s="34" t="str">
        <f>IF(学校情報!$A$4&lt;&gt;"","",IF(ISNA(AA10),"",AA10))</f>
        <v/>
      </c>
      <c r="L10" s="37" t="str">
        <f>IF(学校情報!$A$4&lt;&gt;"","",IF(ISNA(AB10),"",AB10))</f>
        <v/>
      </c>
      <c r="M10" s="411"/>
      <c r="N10" s="415" t="str">
        <f>IF(学校情報!$A$4&lt;&gt;"","",IF(ISNA(AE10),"",AE10))</f>
        <v/>
      </c>
      <c r="O10" s="416"/>
      <c r="P10" s="34" t="str">
        <f>IF(学校情報!$A$4&lt;&gt;"","",IF(ISNA(AF10),"",AF10))</f>
        <v/>
      </c>
      <c r="Q10" s="34" t="str">
        <f>IF(学校情報!$A$4&lt;&gt;"","",IF(ISNA(AG10),"",AG10))</f>
        <v/>
      </c>
      <c r="R10" s="37" t="str">
        <f>IF(学校情報!$A$4&lt;&gt;"","",IF(ISNA(AH10),"",AH10))</f>
        <v/>
      </c>
      <c r="S10" t="e">
        <f ca="1">VLOOKUP($S$2&amp;$A9,OFFSET(選手情報!$B$6:$H$119,W9,0),5,FALSE)</f>
        <v>#N/A</v>
      </c>
      <c r="T10" t="e">
        <f ca="1">VLOOKUP($S$2&amp;$A9,OFFSET(選手情報!$B$6:$H$119,W9,0),7,FALSE)</f>
        <v>#N/A</v>
      </c>
      <c r="U10" t="e">
        <f ca="1">VLOOKUP($S$2&amp;$A9,OFFSET(選手情報!$B$6:$P$119,W9,0),15,FALSE)</f>
        <v>#N/A</v>
      </c>
      <c r="V10" t="e">
        <f ca="1">VLOOKUP($S$2&amp;$A9,OFFSET(選手情報!$B$6:$T$119,W9,0),19,FALSE)</f>
        <v>#N/A</v>
      </c>
      <c r="W10" t="e">
        <f ca="1">VLOOKUP($S$2&amp;$A9,OFFSET(選手情報!$B$6:$BD$119,W9,0),55,FALSE)</f>
        <v>#N/A</v>
      </c>
      <c r="Y10" t="e">
        <f ca="1">VLOOKUP($S$2&amp;$G9,OFFSET(選手情報!$B$6:$H$119,AC9,0),5,FALSE)</f>
        <v>#N/A</v>
      </c>
      <c r="Z10" t="e">
        <f ca="1">VLOOKUP($S$2&amp;$G9,OFFSET(選手情報!$B$6:$H$119,AC9,0),7,FALSE)</f>
        <v>#N/A</v>
      </c>
      <c r="AA10" t="e">
        <f ca="1">VLOOKUP($S$2&amp;$G9,OFFSET(選手情報!$B$6:$P$119,AC9,0),15,FALSE)</f>
        <v>#N/A</v>
      </c>
      <c r="AB10" t="e">
        <f ca="1">VLOOKUP($S$2&amp;$G9,OFFSET(選手情報!$B$6:$T$119,AC9,0),19,FALSE)</f>
        <v>#N/A</v>
      </c>
      <c r="AC10" t="e">
        <f ca="1">VLOOKUP($S$2&amp;$G9,OFFSET(選手情報!$B$6:$BD$119,AC9,0),55,FALSE)</f>
        <v>#N/A</v>
      </c>
      <c r="AE10" t="e">
        <f ca="1">VLOOKUP($S$2&amp;$M9,OFFSET(選手情報!$B$6:$H$119,AI9,0),5,FALSE)</f>
        <v>#N/A</v>
      </c>
      <c r="AF10" t="e">
        <f ca="1">VLOOKUP($S$2&amp;$M9,OFFSET(選手情報!$B$6:$H$119,AI9,0),7,FALSE)</f>
        <v>#N/A</v>
      </c>
      <c r="AG10" t="e">
        <f ca="1">VLOOKUP($S$2&amp;$M9,OFFSET(選手情報!$B$6:$P$119,AI9,0),15,FALSE)</f>
        <v>#N/A</v>
      </c>
      <c r="AH10" t="e">
        <f ca="1">VLOOKUP($S$2&amp;$M9,OFFSET(選手情報!$B$6:$T$119,AI9,0),19,FALSE)</f>
        <v>#N/A</v>
      </c>
      <c r="AI10" t="e">
        <f ca="1">VLOOKUP($S$2&amp;$M9,OFFSET(選手情報!$B$6:$BD$119,AI9,0),55,FALSE)</f>
        <v>#N/A</v>
      </c>
    </row>
    <row r="11" spans="1:36" ht="21.95" customHeight="1" thickBot="1">
      <c r="A11" s="406"/>
      <c r="B11" s="417" t="str">
        <f>IF(学校情報!$A$4&lt;&gt;"","",IF(ISNA(S11),"",S11))</f>
        <v/>
      </c>
      <c r="C11" s="418"/>
      <c r="D11" s="35" t="str">
        <f>IF(学校情報!$A$4&lt;&gt;"","",IF(ISNA(T11),"",T11))</f>
        <v/>
      </c>
      <c r="E11" s="35" t="str">
        <f>IF(学校情報!$A$4&lt;&gt;"","",IF(ISNA(U11),"",U11))</f>
        <v/>
      </c>
      <c r="F11" s="38" t="str">
        <f>IF(学校情報!$A$4&lt;&gt;"","",IF(ISNA(V11),"",V11))</f>
        <v/>
      </c>
      <c r="G11" s="396"/>
      <c r="H11" s="417" t="str">
        <f>IF(学校情報!$A$4&lt;&gt;"","",IF(ISNA(Y11),"",Y11))</f>
        <v/>
      </c>
      <c r="I11" s="418"/>
      <c r="J11" s="35" t="str">
        <f>IF(学校情報!$A$4&lt;&gt;"","",IF(ISNA(Z11),"",Z11))</f>
        <v/>
      </c>
      <c r="K11" s="35" t="str">
        <f>IF(学校情報!$A$4&lt;&gt;"","",IF(ISNA(AA11),"",AA11))</f>
        <v/>
      </c>
      <c r="L11" s="38" t="str">
        <f>IF(学校情報!$A$4&lt;&gt;"","",IF(ISNA(AB11),"",AB11))</f>
        <v/>
      </c>
      <c r="M11" s="396"/>
      <c r="N11" s="417" t="str">
        <f>IF(学校情報!$A$4&lt;&gt;"","",IF(ISNA(AE11),"",AE11))</f>
        <v/>
      </c>
      <c r="O11" s="418"/>
      <c r="P11" s="35" t="str">
        <f>IF(学校情報!$A$4&lt;&gt;"","",IF(ISNA(AF11),"",AF11))</f>
        <v/>
      </c>
      <c r="Q11" s="35" t="str">
        <f>IF(学校情報!$A$4&lt;&gt;"","",IF(ISNA(AG11),"",AG11))</f>
        <v/>
      </c>
      <c r="R11" s="38" t="str">
        <f>IF(学校情報!$A$4&lt;&gt;"","",IF(ISNA(AH11),"",AH11))</f>
        <v/>
      </c>
      <c r="S11" t="e">
        <f ca="1">VLOOKUP($S$2&amp;$A9,OFFSET(選手情報!$B$6:$H$119,W10,0),5,FALSE)</f>
        <v>#N/A</v>
      </c>
      <c r="T11" t="e">
        <f ca="1">VLOOKUP($S$2&amp;$A9,OFFSET(選手情報!$B$6:$H$119,W10,0),7,FALSE)</f>
        <v>#N/A</v>
      </c>
      <c r="U11" t="e">
        <f ca="1">VLOOKUP($S$2&amp;$A9,OFFSET(選手情報!$B$6:$P$119,W10,0),15,FALSE)</f>
        <v>#N/A</v>
      </c>
      <c r="V11" t="e">
        <f ca="1">VLOOKUP($S$2&amp;$A9,OFFSET(選手情報!$B$6:$T$119,W10,0),19,FALSE)</f>
        <v>#N/A</v>
      </c>
      <c r="W11" t="e">
        <f ca="1">VLOOKUP($S$2&amp;$A9,OFFSET(選手情報!$B$6:$BD$119,W10,0),55,FALSE)</f>
        <v>#N/A</v>
      </c>
      <c r="Y11" t="e">
        <f ca="1">VLOOKUP($S$2&amp;$G9,OFFSET(選手情報!$B$6:$H$119,AC10,0),5,FALSE)</f>
        <v>#N/A</v>
      </c>
      <c r="Z11" t="e">
        <f ca="1">VLOOKUP($S$2&amp;$G9,OFFSET(選手情報!$B$6:$H$119,AC10,0),7,FALSE)</f>
        <v>#N/A</v>
      </c>
      <c r="AA11" t="e">
        <f ca="1">VLOOKUP($S$2&amp;$G9,OFFSET(選手情報!$B$6:$P$119,AC10,0),15,FALSE)</f>
        <v>#N/A</v>
      </c>
      <c r="AB11" t="e">
        <f ca="1">VLOOKUP($S$2&amp;$G9,OFFSET(選手情報!$B$6:$T$119,AC10,0),19,FALSE)</f>
        <v>#N/A</v>
      </c>
      <c r="AC11" t="e">
        <f ca="1">VLOOKUP($S$2&amp;$G9,OFFSET(選手情報!$B$6:$BD$119,AC10,0),55,FALSE)</f>
        <v>#N/A</v>
      </c>
      <c r="AE11" t="e">
        <f ca="1">VLOOKUP($S$2&amp;$M9,OFFSET(選手情報!$B$6:$H$119,AI10,0),5,FALSE)</f>
        <v>#N/A</v>
      </c>
      <c r="AF11" t="e">
        <f ca="1">VLOOKUP($S$2&amp;$M9,OFFSET(選手情報!$B$6:$H$119,AI10,0),7,FALSE)</f>
        <v>#N/A</v>
      </c>
      <c r="AG11" t="e">
        <f ca="1">VLOOKUP($S$2&amp;$M9,OFFSET(選手情報!$B$6:$P$119,AI10,0),15,FALSE)</f>
        <v>#N/A</v>
      </c>
      <c r="AH11" t="e">
        <f ca="1">VLOOKUP($S$2&amp;$M9,OFFSET(選手情報!$B$6:$T$119,AI10,0),19,FALSE)</f>
        <v>#N/A</v>
      </c>
      <c r="AI11" t="e">
        <f ca="1">VLOOKUP($S$2&amp;$M9,OFFSET(選手情報!$B$6:$BD$119,AI10,0),55,FALSE)</f>
        <v>#N/A</v>
      </c>
    </row>
    <row r="12" spans="1:36" ht="21.95" customHeight="1">
      <c r="A12" s="395" t="str">
        <f>設定!D4</f>
        <v>400m</v>
      </c>
      <c r="B12" s="413" t="str">
        <f>IF(学校情報!$A$4&lt;&gt;"","",IF(ISNA(S12),"",S12))</f>
        <v/>
      </c>
      <c r="C12" s="414"/>
      <c r="D12" s="33" t="str">
        <f>IF(学校情報!$A$4&lt;&gt;"","",IF(ISNA(T12),"",T12))</f>
        <v/>
      </c>
      <c r="E12" s="33" t="str">
        <f>IF(学校情報!$A$4&lt;&gt;"","",IF(ISNA(U12),"",U12))</f>
        <v/>
      </c>
      <c r="F12" s="36" t="str">
        <f>IF(学校情報!$A$4&lt;&gt;"","",IF(ISNA(V12),"",V12))</f>
        <v/>
      </c>
      <c r="G12" s="395" t="str">
        <f>設定!D13</f>
        <v>10000mW</v>
      </c>
      <c r="H12" s="413" t="str">
        <f>IF(学校情報!$A$4&lt;&gt;"","",IF(ISNA(Y12),"",Y12))</f>
        <v/>
      </c>
      <c r="I12" s="414"/>
      <c r="J12" s="33" t="str">
        <f>IF(学校情報!$A$4&lt;&gt;"","",IF(ISNA(Z12),"",Z12))</f>
        <v/>
      </c>
      <c r="K12" s="33" t="str">
        <f>IF(学校情報!$A$4&lt;&gt;"","",IF(ISNA(AA12),"",AA12))</f>
        <v/>
      </c>
      <c r="L12" s="36" t="str">
        <f>IF(学校情報!$A$4&lt;&gt;"","",IF(ISNA(AB12),"",AB12))</f>
        <v/>
      </c>
      <c r="M12" s="403" t="str">
        <f>設定!D19</f>
        <v>三段跳</v>
      </c>
      <c r="N12" s="413" t="str">
        <f>IF(学校情報!$A$4&lt;&gt;"","",IF(ISNA(AE12),"",AE12))</f>
        <v/>
      </c>
      <c r="O12" s="414"/>
      <c r="P12" s="33" t="str">
        <f>IF(学校情報!$A$4&lt;&gt;"","",IF(ISNA(AF12),"",AF12))</f>
        <v/>
      </c>
      <c r="Q12" s="33" t="str">
        <f>IF(学校情報!$A$4&lt;&gt;"","",IF(ISNA(AG12),"",AG12))</f>
        <v/>
      </c>
      <c r="R12" s="36" t="str">
        <f>IF(学校情報!$A$4&lt;&gt;"","",IF(ISNA(AH12),"",AH12))</f>
        <v/>
      </c>
      <c r="S12" t="e">
        <f>VLOOKUP($S$2&amp;$A12,選手情報!$B$6:$H$119,5,FALSE)</f>
        <v>#N/A</v>
      </c>
      <c r="T12" t="e">
        <f>VLOOKUP($S$2&amp;$A12,選手情報!$B$6:$H$119,7,FALSE)</f>
        <v>#N/A</v>
      </c>
      <c r="U12" t="e">
        <f>VLOOKUP($S$2&amp;$A12,選手情報!$B$6:$P$119,15,FALSE)</f>
        <v>#N/A</v>
      </c>
      <c r="V12" t="e">
        <f>VLOOKUP($S$2&amp;$A12,選手情報!$B$6:$T$119,19,FALSE)</f>
        <v>#N/A</v>
      </c>
      <c r="W12" t="e">
        <f>VLOOKUP($S$2&amp;$A12,選手情報!$B$6:$BD$119,55,FALSE)</f>
        <v>#N/A</v>
      </c>
      <c r="Y12" t="e">
        <f>VLOOKUP($S$2&amp;$G12,選手情報!$B$6:$H$119,5,FALSE)</f>
        <v>#N/A</v>
      </c>
      <c r="Z12" t="e">
        <f>VLOOKUP($S$2&amp;$G12,選手情報!$B$6:$H$119,7,FALSE)</f>
        <v>#N/A</v>
      </c>
      <c r="AA12" t="e">
        <f>VLOOKUP($S$2&amp;$G12,選手情報!$B$6:$P$119,15,FALSE)</f>
        <v>#N/A</v>
      </c>
      <c r="AB12" t="e">
        <f>VLOOKUP($S$2&amp;$G12,選手情報!$B$6:$T$119,19,FALSE)</f>
        <v>#N/A</v>
      </c>
      <c r="AC12" t="e">
        <f>VLOOKUP($S$2&amp;$G12,選手情報!$B$6:$BD$119,55,FALSE)</f>
        <v>#N/A</v>
      </c>
      <c r="AE12" t="e">
        <f>VLOOKUP($S$2&amp;$M12,選手情報!$B$6:$H$119,5,FALSE)</f>
        <v>#N/A</v>
      </c>
      <c r="AF12" t="e">
        <f>VLOOKUP($S$2&amp;$M12,選手情報!$B$6:$H$119,7,FALSE)</f>
        <v>#N/A</v>
      </c>
      <c r="AG12" t="e">
        <f>VLOOKUP($S$2&amp;$M12,選手情報!$B$6:$P$119,15,FALSE)</f>
        <v>#N/A</v>
      </c>
      <c r="AH12" t="e">
        <f>VLOOKUP($S$2&amp;$M12,選手情報!$B$6:$T$119,19,FALSE)</f>
        <v>#N/A</v>
      </c>
      <c r="AI12" t="e">
        <f>VLOOKUP($S$2&amp;$M12,選手情報!$B$6:$BD$119,55,FALSE)</f>
        <v>#N/A</v>
      </c>
    </row>
    <row r="13" spans="1:36" ht="21.95" customHeight="1">
      <c r="A13" s="411"/>
      <c r="B13" s="415" t="str">
        <f>IF(学校情報!$A$4&lt;&gt;"","",IF(ISNA(S13),"",S13))</f>
        <v/>
      </c>
      <c r="C13" s="416"/>
      <c r="D13" s="34" t="str">
        <f>IF(学校情報!$A$4&lt;&gt;"","",IF(ISNA(T13),"",T13))</f>
        <v/>
      </c>
      <c r="E13" s="34" t="str">
        <f>IF(学校情報!$A$4&lt;&gt;"","",IF(ISNA(U13),"",U13))</f>
        <v/>
      </c>
      <c r="F13" s="37" t="str">
        <f>IF(学校情報!$A$4&lt;&gt;"","",IF(ISNA(V13),"",V13))</f>
        <v/>
      </c>
      <c r="G13" s="411"/>
      <c r="H13" s="415" t="str">
        <f>IF(学校情報!$A$4&lt;&gt;"","",IF(ISNA(Y13),"",Y13))</f>
        <v/>
      </c>
      <c r="I13" s="416"/>
      <c r="J13" s="34" t="str">
        <f>IF(学校情報!$A$4&lt;&gt;"","",IF(ISNA(Z13),"",Z13))</f>
        <v/>
      </c>
      <c r="K13" s="34" t="str">
        <f>IF(学校情報!$A$4&lt;&gt;"","",IF(ISNA(AA13),"",AA13))</f>
        <v/>
      </c>
      <c r="L13" s="37" t="str">
        <f>IF(学校情報!$A$4&lt;&gt;"","",IF(ISNA(AB13),"",AB13))</f>
        <v/>
      </c>
      <c r="M13" s="419"/>
      <c r="N13" s="415" t="str">
        <f>IF(学校情報!$A$4&lt;&gt;"","",IF(ISNA(AE13),"",AE13))</f>
        <v/>
      </c>
      <c r="O13" s="416"/>
      <c r="P13" s="34" t="str">
        <f>IF(学校情報!$A$4&lt;&gt;"","",IF(ISNA(AF13),"",AF13))</f>
        <v/>
      </c>
      <c r="Q13" s="34" t="str">
        <f>IF(学校情報!$A$4&lt;&gt;"","",IF(ISNA(AG13),"",AG13))</f>
        <v/>
      </c>
      <c r="R13" s="37" t="str">
        <f>IF(学校情報!$A$4&lt;&gt;"","",IF(ISNA(AH13),"",AH13))</f>
        <v/>
      </c>
      <c r="S13" t="e">
        <f ca="1">VLOOKUP($S$2&amp;$A12,OFFSET(選手情報!$B$6:$H$119,W12,0),5,FALSE)</f>
        <v>#N/A</v>
      </c>
      <c r="T13" t="e">
        <f ca="1">VLOOKUP($S$2&amp;$A12,OFFSET(選手情報!$B$6:$H$119,W12,0),7,FALSE)</f>
        <v>#N/A</v>
      </c>
      <c r="U13" t="e">
        <f ca="1">VLOOKUP($S$2&amp;$A12,OFFSET(選手情報!$B$6:$P$119,W12,0),15,FALSE)</f>
        <v>#N/A</v>
      </c>
      <c r="V13" t="e">
        <f ca="1">VLOOKUP($S$2&amp;$A12,OFFSET(選手情報!$B$6:$T$119,W12,0),19,FALSE)</f>
        <v>#N/A</v>
      </c>
      <c r="W13" t="e">
        <f ca="1">VLOOKUP($S$2&amp;$A12,OFFSET(選手情報!$B$6:$BD$119,W12,0),55,FALSE)</f>
        <v>#N/A</v>
      </c>
      <c r="Y13" t="e">
        <f ca="1">VLOOKUP($S$2&amp;$G12,OFFSET(選手情報!$B$6:$H$119,AC12,0),5,FALSE)</f>
        <v>#N/A</v>
      </c>
      <c r="Z13" t="e">
        <f ca="1">VLOOKUP($S$2&amp;$G12,OFFSET(選手情報!$B$6:$H$119,AC12,0),7,FALSE)</f>
        <v>#N/A</v>
      </c>
      <c r="AA13" t="e">
        <f ca="1">VLOOKUP($S$2&amp;$G12,OFFSET(選手情報!$B$6:$P$119,AC12,0),15,FALSE)</f>
        <v>#N/A</v>
      </c>
      <c r="AB13" t="e">
        <f ca="1">VLOOKUP($S$2&amp;$G12,OFFSET(選手情報!$B$6:$T$119,AC12,0),19,FALSE)</f>
        <v>#N/A</v>
      </c>
      <c r="AC13" t="e">
        <f ca="1">VLOOKUP($S$2&amp;$G12,OFFSET(選手情報!$B$6:$BD$119,AC12,0),55,FALSE)</f>
        <v>#N/A</v>
      </c>
      <c r="AE13" t="e">
        <f ca="1">VLOOKUP($S$2&amp;$M12,OFFSET(選手情報!$B$6:$H$119,AI12,0),5,FALSE)</f>
        <v>#N/A</v>
      </c>
      <c r="AF13" t="e">
        <f ca="1">VLOOKUP($S$2&amp;$M12,OFFSET(選手情報!$B$6:$H$119,AI12,0),7,FALSE)</f>
        <v>#N/A</v>
      </c>
      <c r="AG13" t="e">
        <f ca="1">VLOOKUP($S$2&amp;$M12,OFFSET(選手情報!$B$6:$P$119,AI12,0),15,FALSE)</f>
        <v>#N/A</v>
      </c>
      <c r="AH13" t="e">
        <f ca="1">VLOOKUP($S$2&amp;$M12,OFFSET(選手情報!$B$6:$T$119,AI12,0),19,FALSE)</f>
        <v>#N/A</v>
      </c>
      <c r="AI13" t="e">
        <f ca="1">VLOOKUP($S$2&amp;$M12,OFFSET(選手情報!$B$6:$BD$119,AI12,0),55,FALSE)</f>
        <v>#N/A</v>
      </c>
    </row>
    <row r="14" spans="1:36" ht="21.95" customHeight="1" thickBot="1">
      <c r="A14" s="396"/>
      <c r="B14" s="417" t="str">
        <f>IF(学校情報!$A$4&lt;&gt;"","",IF(ISNA(S14),"",S14))</f>
        <v/>
      </c>
      <c r="C14" s="418"/>
      <c r="D14" s="35" t="str">
        <f>IF(学校情報!$A$4&lt;&gt;"","",IF(ISNA(T14),"",T14))</f>
        <v/>
      </c>
      <c r="E14" s="35" t="str">
        <f>IF(学校情報!$A$4&lt;&gt;"","",IF(ISNA(U14),"",U14))</f>
        <v/>
      </c>
      <c r="F14" s="38" t="str">
        <f>IF(学校情報!$A$4&lt;&gt;"","",IF(ISNA(V14),"",V14))</f>
        <v/>
      </c>
      <c r="G14" s="396"/>
      <c r="H14" s="417" t="str">
        <f>IF(学校情報!$A$4&lt;&gt;"","",IF(ISNA(Y14),"",Y14))</f>
        <v/>
      </c>
      <c r="I14" s="418"/>
      <c r="J14" s="35" t="str">
        <f>IF(学校情報!$A$4&lt;&gt;"","",IF(ISNA(Z14),"",Z14))</f>
        <v/>
      </c>
      <c r="K14" s="35" t="str">
        <f>IF(学校情報!$A$4&lt;&gt;"","",IF(ISNA(AA14),"",AA14))</f>
        <v/>
      </c>
      <c r="L14" s="38" t="str">
        <f>IF(学校情報!$A$4&lt;&gt;"","",IF(ISNA(AB14),"",AB14))</f>
        <v/>
      </c>
      <c r="M14" s="406"/>
      <c r="N14" s="417" t="str">
        <f>IF(学校情報!$A$4&lt;&gt;"","",IF(ISNA(AE14),"",AE14))</f>
        <v/>
      </c>
      <c r="O14" s="418"/>
      <c r="P14" s="35" t="str">
        <f>IF(学校情報!$A$4&lt;&gt;"","",IF(ISNA(AF14),"",AF14))</f>
        <v/>
      </c>
      <c r="Q14" s="35" t="str">
        <f>IF(学校情報!$A$4&lt;&gt;"","",IF(ISNA(AG14),"",AG14))</f>
        <v/>
      </c>
      <c r="R14" s="38" t="str">
        <f>IF(学校情報!$A$4&lt;&gt;"","",IF(ISNA(AH14),"",AH14))</f>
        <v/>
      </c>
      <c r="S14" t="e">
        <f ca="1">VLOOKUP($S$2&amp;$A12,OFFSET(選手情報!$B$6:$H$119,W13,0),5,FALSE)</f>
        <v>#N/A</v>
      </c>
      <c r="T14" t="e">
        <f ca="1">VLOOKUP($S$2&amp;$A12,OFFSET(選手情報!$B$6:$H$119,W13,0),7,FALSE)</f>
        <v>#N/A</v>
      </c>
      <c r="U14" t="e">
        <f ca="1">VLOOKUP($S$2&amp;$A12,OFFSET(選手情報!$B$6:$P$119,W13,0),15,FALSE)</f>
        <v>#N/A</v>
      </c>
      <c r="V14" t="e">
        <f ca="1">VLOOKUP($S$2&amp;$A12,OFFSET(選手情報!$B$6:$T$119,W13,0),19,FALSE)</f>
        <v>#N/A</v>
      </c>
      <c r="W14" t="e">
        <f ca="1">VLOOKUP($S$2&amp;$A12,OFFSET(選手情報!$B$6:$BD$119,W13,0),55,FALSE)</f>
        <v>#N/A</v>
      </c>
      <c r="Y14" t="e">
        <f ca="1">VLOOKUP($S$2&amp;$G12,OFFSET(選手情報!$B$6:$H$119,AC13,0),5,FALSE)</f>
        <v>#N/A</v>
      </c>
      <c r="Z14" t="e">
        <f ca="1">VLOOKUP($S$2&amp;$G12,OFFSET(選手情報!$B$6:$H$119,AC13,0),7,FALSE)</f>
        <v>#N/A</v>
      </c>
      <c r="AA14" t="e">
        <f ca="1">VLOOKUP($S$2&amp;$G12,OFFSET(選手情報!$B$6:$P$119,AC13,0),15,FALSE)</f>
        <v>#N/A</v>
      </c>
      <c r="AB14" t="e">
        <f ca="1">VLOOKUP($S$2&amp;$G12,OFFSET(選手情報!$B$6:$T$119,AC13,0),19,FALSE)</f>
        <v>#N/A</v>
      </c>
      <c r="AC14" t="e">
        <f ca="1">VLOOKUP($S$2&amp;$G12,OFFSET(選手情報!$B$6:$BD$119,AC13,0),55,FALSE)</f>
        <v>#N/A</v>
      </c>
      <c r="AE14" t="e">
        <f ca="1">VLOOKUP($S$2&amp;$M12,OFFSET(選手情報!$B$6:$H$119,AI13,0),5,FALSE)</f>
        <v>#N/A</v>
      </c>
      <c r="AF14" t="e">
        <f ca="1">VLOOKUP($S$2&amp;$M12,OFFSET(選手情報!$B$6:$H$119,AI13,0),7,FALSE)</f>
        <v>#N/A</v>
      </c>
      <c r="AG14" t="e">
        <f ca="1">VLOOKUP($S$2&amp;$M12,OFFSET(選手情報!$B$6:$P$119,AI13,0),15,FALSE)</f>
        <v>#N/A</v>
      </c>
      <c r="AH14" t="e">
        <f ca="1">VLOOKUP($S$2&amp;$M12,OFFSET(選手情報!$B$6:$T$119,AI13,0),19,FALSE)</f>
        <v>#N/A</v>
      </c>
      <c r="AI14" t="e">
        <f ca="1">VLOOKUP($S$2&amp;$M12,OFFSET(選手情報!$B$6:$BD$119,AI13,0),55,FALSE)</f>
        <v>#N/A</v>
      </c>
    </row>
    <row r="15" spans="1:36" ht="21.95" customHeight="1">
      <c r="A15" s="395" t="str">
        <f>設定!D5</f>
        <v>800m</v>
      </c>
      <c r="B15" s="413" t="str">
        <f>IF(学校情報!$A$4&lt;&gt;"","",IF(ISNA(S15),"",S15))</f>
        <v/>
      </c>
      <c r="C15" s="414"/>
      <c r="D15" s="33" t="str">
        <f>IF(学校情報!$A$4&lt;&gt;"","",IF(ISNA(T15),"",T15))</f>
        <v/>
      </c>
      <c r="E15" s="33" t="str">
        <f>IF(学校情報!$A$4&lt;&gt;"","",IF(ISNA(U15),"",U15))</f>
        <v/>
      </c>
      <c r="F15" s="36" t="str">
        <f>IF(学校情報!$A$4&lt;&gt;"","",IF(ISNA(V15),"",V15))</f>
        <v/>
      </c>
      <c r="G15" s="403" t="s">
        <v>149</v>
      </c>
      <c r="H15" s="413" t="str">
        <f>IF(学校情報!$A$4&lt;&gt;"","",IF(ISNA(VLOOKUP(AJ15,リレーチーム情報!$A$5:$S$10,9,FALSE)),"",VLOOKUP(AJ15,リレーチーム情報!$A$5:$S$10,9,FALSE)))</f>
        <v/>
      </c>
      <c r="I15" s="414"/>
      <c r="J15" s="33" t="str">
        <f>IF(学校情報!$A$4&lt;&gt;"","",IF(ISNA(VLOOKUP(AJ15,リレーチーム情報!$A$5:$S$10,10,FALSE)),"",VLOOKUP(AJ15,リレーチーム情報!$A$5:$S$10,10,FALSE)))</f>
        <v/>
      </c>
      <c r="K15" s="405" t="str">
        <f>IF(学校情報!$A$4&lt;&gt;"","",IF(AND(リレーチーム情報!T5="〇",リレーチーム情報!Q5&lt;&gt;""),リレーチーム情報!Q5,""))</f>
        <v/>
      </c>
      <c r="L15" s="421" t="str">
        <f>IF(学校情報!$A$4&lt;&gt;"","",IF(K15&lt;&gt;"",リレーチーム情報!S5,""))</f>
        <v/>
      </c>
      <c r="M15" s="403" t="str">
        <f>設定!D20</f>
        <v>砲丸投</v>
      </c>
      <c r="N15" s="413" t="str">
        <f>IF(学校情報!$A$4&lt;&gt;"","",IF(ISNA(AE15),"",AE15))</f>
        <v/>
      </c>
      <c r="O15" s="414"/>
      <c r="P15" s="33" t="str">
        <f>IF(学校情報!$A$4&lt;&gt;"","",IF(ISNA(AF15),"",AF15))</f>
        <v/>
      </c>
      <c r="Q15" s="33" t="str">
        <f>IF(学校情報!$A$4&lt;&gt;"","",IF(ISNA(AG15),"",AG15))</f>
        <v/>
      </c>
      <c r="R15" s="36" t="str">
        <f>IF(学校情報!$A$4&lt;&gt;"","",IF(ISNA(AH15),"",AH15))</f>
        <v/>
      </c>
      <c r="S15" t="e">
        <f>VLOOKUP($S$2&amp;$A15,選手情報!$B$6:$H$119,5,FALSE)</f>
        <v>#N/A</v>
      </c>
      <c r="T15" t="e">
        <f>VLOOKUP($S$2&amp;$A15,選手情報!$B$6:$H$119,7,FALSE)</f>
        <v>#N/A</v>
      </c>
      <c r="U15" t="e">
        <f>VLOOKUP($S$2&amp;$A15,選手情報!$B$6:$P$119,15,FALSE)</f>
        <v>#N/A</v>
      </c>
      <c r="V15" t="e">
        <f>VLOOKUP($S$2&amp;$A15,選手情報!$B$6:$T$119,19,FALSE)</f>
        <v>#N/A</v>
      </c>
      <c r="W15" t="e">
        <f>VLOOKUP($S$2&amp;$A15,選手情報!$B$6:$BD$119,55,FALSE)</f>
        <v>#N/A</v>
      </c>
      <c r="AE15" t="e">
        <f>VLOOKUP($S$2&amp;$M15,選手情報!$B$6:$H$119,5,FALSE)</f>
        <v>#N/A</v>
      </c>
      <c r="AF15" t="e">
        <f>VLOOKUP($S$2&amp;$M15,選手情報!$B$6:$H$119,7,FALSE)</f>
        <v>#N/A</v>
      </c>
      <c r="AG15" t="e">
        <f>VLOOKUP($S$2&amp;$M15,選手情報!$B$6:$P$119,15,FALSE)</f>
        <v>#N/A</v>
      </c>
      <c r="AH15" t="e">
        <f>VLOOKUP($S$2&amp;$M15,選手情報!$B$6:$T$119,19,FALSE)</f>
        <v>#N/A</v>
      </c>
      <c r="AI15" t="e">
        <f>VLOOKUP($S$2&amp;$M15,選手情報!$B$6:$BD$119,55,FALSE)</f>
        <v>#N/A</v>
      </c>
      <c r="AJ15">
        <v>1</v>
      </c>
    </row>
    <row r="16" spans="1:36" ht="21.95" customHeight="1">
      <c r="A16" s="411"/>
      <c r="B16" s="415" t="str">
        <f>IF(学校情報!$A$4&lt;&gt;"","",IF(ISNA(S16),"",S16))</f>
        <v/>
      </c>
      <c r="C16" s="416"/>
      <c r="D16" s="34" t="str">
        <f>IF(学校情報!$A$4&lt;&gt;"","",IF(ISNA(T16),"",T16))</f>
        <v/>
      </c>
      <c r="E16" s="34" t="str">
        <f>IF(学校情報!$A$4&lt;&gt;"","",IF(ISNA(U16),"",U16))</f>
        <v/>
      </c>
      <c r="F16" s="37" t="str">
        <f>IF(学校情報!$A$4&lt;&gt;"","",IF(ISNA(V16),"",V16))</f>
        <v/>
      </c>
      <c r="G16" s="419"/>
      <c r="H16" s="415" t="str">
        <f>IF(学校情報!$A$4&lt;&gt;"","",IF(ISNA(VLOOKUP(AJ16,リレーチーム情報!$A$5:$S$10,9,FALSE)),"",VLOOKUP(AJ16,リレーチーム情報!$A$5:$S$10,9,FALSE)))</f>
        <v/>
      </c>
      <c r="I16" s="416"/>
      <c r="J16" s="34" t="str">
        <f>IF(学校情報!$A$4&lt;&gt;"","",IF(ISNA(VLOOKUP(AJ16,リレーチーム情報!$A$5:$S$10,10,FALSE)),"",VLOOKUP(AJ16,リレーチーム情報!$A$5:$S$10,10,FALSE)))</f>
        <v/>
      </c>
      <c r="K16" s="420"/>
      <c r="L16" s="422"/>
      <c r="M16" s="419"/>
      <c r="N16" s="415" t="str">
        <f>IF(学校情報!$A$4&lt;&gt;"","",IF(ISNA(AE16),"",AE16))</f>
        <v/>
      </c>
      <c r="O16" s="416"/>
      <c r="P16" s="34" t="str">
        <f>IF(学校情報!$A$4&lt;&gt;"","",IF(ISNA(AF16),"",AF16))</f>
        <v/>
      </c>
      <c r="Q16" s="34" t="str">
        <f>IF(学校情報!$A$4&lt;&gt;"","",IF(ISNA(AG16),"",AG16))</f>
        <v/>
      </c>
      <c r="R16" s="37" t="str">
        <f>IF(学校情報!$A$4&lt;&gt;"","",IF(ISNA(AH16),"",AH16))</f>
        <v/>
      </c>
      <c r="S16" t="e">
        <f ca="1">VLOOKUP($S$2&amp;$A15,OFFSET(選手情報!$B$6:$H$119,W15,0),5,FALSE)</f>
        <v>#N/A</v>
      </c>
      <c r="T16" t="e">
        <f ca="1">VLOOKUP($S$2&amp;$A15,OFFSET(選手情報!$B$6:$H$119,W15,0),7,FALSE)</f>
        <v>#N/A</v>
      </c>
      <c r="U16" t="e">
        <f ca="1">VLOOKUP($S$2&amp;$A15,OFFSET(選手情報!$B$6:$P$119,W15,0),15,FALSE)</f>
        <v>#N/A</v>
      </c>
      <c r="V16" t="e">
        <f ca="1">VLOOKUP($S$2&amp;$A15,OFFSET(選手情報!$B$6:$T$119,W15,0),19,FALSE)</f>
        <v>#N/A</v>
      </c>
      <c r="W16" t="e">
        <f ca="1">VLOOKUP($S$2&amp;$A15,OFFSET(選手情報!$B$6:$BD$119,W15,0),55,FALSE)</f>
        <v>#N/A</v>
      </c>
      <c r="AE16" t="e">
        <f ca="1">VLOOKUP($S$2&amp;$M15,OFFSET(選手情報!$B$6:$H$119,AI15,0),5,FALSE)</f>
        <v>#N/A</v>
      </c>
      <c r="AF16" t="e">
        <f ca="1">VLOOKUP($S$2&amp;$M15,OFFSET(選手情報!$B$6:$H$119,AI15,0),7,FALSE)</f>
        <v>#N/A</v>
      </c>
      <c r="AG16" t="e">
        <f ca="1">VLOOKUP($S$2&amp;$M15,OFFSET(選手情報!$B$6:$P$119,AI15,0),15,FALSE)</f>
        <v>#N/A</v>
      </c>
      <c r="AH16" t="e">
        <f ca="1">VLOOKUP($S$2&amp;$M15,OFFSET(選手情報!$B$6:$T$119,AI15,0),19,FALSE)</f>
        <v>#N/A</v>
      </c>
      <c r="AI16" t="e">
        <f ca="1">VLOOKUP($S$2&amp;$M15,OFFSET(選手情報!$B$6:$BD$119,AI15,0),55,FALSE)</f>
        <v>#N/A</v>
      </c>
      <c r="AJ16">
        <v>2</v>
      </c>
    </row>
    <row r="17" spans="1:36" ht="21.95" customHeight="1" thickBot="1">
      <c r="A17" s="396"/>
      <c r="B17" s="417" t="str">
        <f>IF(学校情報!$A$4&lt;&gt;"","",IF(ISNA(S17),"",S17))</f>
        <v/>
      </c>
      <c r="C17" s="418"/>
      <c r="D17" s="35" t="str">
        <f>IF(学校情報!$A$4&lt;&gt;"","",IF(ISNA(T17),"",T17))</f>
        <v/>
      </c>
      <c r="E17" s="35" t="str">
        <f>IF(学校情報!$A$4&lt;&gt;"","",IF(ISNA(U17),"",U17))</f>
        <v/>
      </c>
      <c r="F17" s="38" t="str">
        <f>IF(学校情報!$A$4&lt;&gt;"","",IF(ISNA(V17),"",V17))</f>
        <v/>
      </c>
      <c r="G17" s="419"/>
      <c r="H17" s="415" t="str">
        <f>IF(学校情報!$A$4&lt;&gt;"","",IF(ISNA(VLOOKUP(AJ17,リレーチーム情報!$A$5:$S$10,9,FALSE)),"",VLOOKUP(AJ17,リレーチーム情報!$A$5:$S$10,9,FALSE)))</f>
        <v/>
      </c>
      <c r="I17" s="416"/>
      <c r="J17" s="34" t="str">
        <f>IF(学校情報!$A$4&lt;&gt;"","",IF(ISNA(VLOOKUP(AJ17,リレーチーム情報!$A$5:$S$10,10,FALSE)),"",VLOOKUP(AJ17,リレーチーム情報!$A$5:$S$10,10,FALSE)))</f>
        <v/>
      </c>
      <c r="K17" s="420"/>
      <c r="L17" s="422"/>
      <c r="M17" s="406"/>
      <c r="N17" s="417" t="str">
        <f>IF(学校情報!$A$4&lt;&gt;"","",IF(ISNA(AE17),"",AE17))</f>
        <v/>
      </c>
      <c r="O17" s="418"/>
      <c r="P17" s="35" t="str">
        <f>IF(学校情報!$A$4&lt;&gt;"","",IF(ISNA(AF17),"",AF17))</f>
        <v/>
      </c>
      <c r="Q17" s="35" t="str">
        <f>IF(学校情報!$A$4&lt;&gt;"","",IF(ISNA(AG17),"",AG17))</f>
        <v/>
      </c>
      <c r="R17" s="38" t="str">
        <f>IF(学校情報!$A$4&lt;&gt;"","",IF(ISNA(AH17),"",AH17))</f>
        <v/>
      </c>
      <c r="S17" t="e">
        <f ca="1">VLOOKUP($S$2&amp;$A15,OFFSET(選手情報!$B$6:$H$119,W16,0),5,FALSE)</f>
        <v>#N/A</v>
      </c>
      <c r="T17" t="e">
        <f ca="1">VLOOKUP($S$2&amp;$A15,OFFSET(選手情報!$B$6:$H$119,W16,0),7,FALSE)</f>
        <v>#N/A</v>
      </c>
      <c r="U17" t="e">
        <f ca="1">VLOOKUP($S$2&amp;$A15,OFFSET(選手情報!$B$6:$P$119,W16,0),15,FALSE)</f>
        <v>#N/A</v>
      </c>
      <c r="V17" t="e">
        <f ca="1">VLOOKUP($S$2&amp;$A15,OFFSET(選手情報!$B$6:$T$119,W16,0),19,FALSE)</f>
        <v>#N/A</v>
      </c>
      <c r="W17" t="e">
        <f ca="1">VLOOKUP($S$2&amp;$A15,OFFSET(選手情報!$B$6:$BD$119,W16,0),55,FALSE)</f>
        <v>#N/A</v>
      </c>
      <c r="AE17" t="e">
        <f ca="1">VLOOKUP($S$2&amp;$M15,OFFSET(選手情報!$B$6:$H$119,AI16,0),5,FALSE)</f>
        <v>#N/A</v>
      </c>
      <c r="AF17" t="e">
        <f ca="1">VLOOKUP($S$2&amp;$M15,OFFSET(選手情報!$B$6:$H$119,AI16,0),7,FALSE)</f>
        <v>#N/A</v>
      </c>
      <c r="AG17" t="e">
        <f ca="1">VLOOKUP($S$2&amp;$M15,OFFSET(選手情報!$B$6:$P$119,AI16,0),15,FALSE)</f>
        <v>#N/A</v>
      </c>
      <c r="AH17" t="e">
        <f ca="1">VLOOKUP($S$2&amp;$M15,OFFSET(選手情報!$B$6:$T$119,AI16,0),19,FALSE)</f>
        <v>#N/A</v>
      </c>
      <c r="AI17" t="e">
        <f ca="1">VLOOKUP($S$2&amp;$M15,OFFSET(選手情報!$B$6:$BD$119,AI16,0),55,FALSE)</f>
        <v>#N/A</v>
      </c>
      <c r="AJ17">
        <v>3</v>
      </c>
    </row>
    <row r="18" spans="1:36" ht="21.95" customHeight="1">
      <c r="A18" s="395" t="str">
        <f>設定!D6</f>
        <v>1500m</v>
      </c>
      <c r="B18" s="413" t="str">
        <f>IF(学校情報!$A$4&lt;&gt;"","",IF(ISNA(S18),"",S18))</f>
        <v/>
      </c>
      <c r="C18" s="414"/>
      <c r="D18" s="33" t="str">
        <f>IF(学校情報!$A$4&lt;&gt;"","",IF(ISNA(T18),"",T18))</f>
        <v/>
      </c>
      <c r="E18" s="33" t="str">
        <f>IF(学校情報!$A$4&lt;&gt;"","",IF(ISNA(U18),"",U18))</f>
        <v/>
      </c>
      <c r="F18" s="36" t="str">
        <f>IF(学校情報!$A$4&lt;&gt;"","",IF(ISNA(V18),"",V18))</f>
        <v/>
      </c>
      <c r="G18" s="419"/>
      <c r="H18" s="415" t="str">
        <f>IF(学校情報!$A$4&lt;&gt;"","",IF(ISNA(VLOOKUP(AJ18,リレーチーム情報!$A$5:$S$10,9,FALSE)),"",VLOOKUP(AJ18,リレーチーム情報!$A$5:$S$10,9,FALSE)))</f>
        <v/>
      </c>
      <c r="I18" s="416"/>
      <c r="J18" s="88" t="str">
        <f>IF(学校情報!$A$4&lt;&gt;"","",IF(ISNA(VLOOKUP(AJ18,リレーチーム情報!$A$5:$S$10,10,FALSE)),"",VLOOKUP(AJ18,リレーチーム情報!$A$5:$S$10,10,FALSE)))</f>
        <v/>
      </c>
      <c r="K18" s="420"/>
      <c r="L18" s="422"/>
      <c r="M18" s="403" t="str">
        <f>設定!D21</f>
        <v>円盤投</v>
      </c>
      <c r="N18" s="413" t="str">
        <f>IF(学校情報!$A$4&lt;&gt;"","",IF(ISNA(AE18),"",AE18))</f>
        <v/>
      </c>
      <c r="O18" s="414"/>
      <c r="P18" s="33" t="str">
        <f>IF(学校情報!$A$4&lt;&gt;"","",IF(ISNA(AF18),"",AF18))</f>
        <v/>
      </c>
      <c r="Q18" s="33" t="str">
        <f>IF(学校情報!$A$4&lt;&gt;"","",IF(ISNA(AG18),"",AG18))</f>
        <v/>
      </c>
      <c r="R18" s="36" t="str">
        <f>IF(学校情報!$A$4&lt;&gt;"","",IF(ISNA(AH18),"",AH18))</f>
        <v/>
      </c>
      <c r="S18" t="e">
        <f>VLOOKUP($S$2&amp;$A18,選手情報!$B$6:$H$119,5,FALSE)</f>
        <v>#N/A</v>
      </c>
      <c r="T18" t="e">
        <f>VLOOKUP($S$2&amp;$A18,選手情報!$B$6:$H$119,7,FALSE)</f>
        <v>#N/A</v>
      </c>
      <c r="U18" t="e">
        <f>VLOOKUP($S$2&amp;$A18,選手情報!$B$6:$P$119,15,FALSE)</f>
        <v>#N/A</v>
      </c>
      <c r="V18" t="e">
        <f>VLOOKUP($S$2&amp;$A18,選手情報!$B$6:$T$119,19,FALSE)</f>
        <v>#N/A</v>
      </c>
      <c r="W18" t="e">
        <f>VLOOKUP($S$2&amp;$A18,選手情報!$B$6:$BD$119,55,FALSE)</f>
        <v>#N/A</v>
      </c>
      <c r="AE18" t="e">
        <f>VLOOKUP($S$2&amp;$M18,選手情報!$B$6:$H$119,5,FALSE)</f>
        <v>#N/A</v>
      </c>
      <c r="AF18" t="e">
        <f>VLOOKUP($S$2&amp;$M18,選手情報!$B$6:$H$119,7,FALSE)</f>
        <v>#N/A</v>
      </c>
      <c r="AG18" t="e">
        <f>VLOOKUP($S$2&amp;$M18,選手情報!$B$6:$P$119,15,FALSE)</f>
        <v>#N/A</v>
      </c>
      <c r="AH18" t="e">
        <f>VLOOKUP($S$2&amp;$M18,選手情報!$B$6:$T$119,19,FALSE)</f>
        <v>#N/A</v>
      </c>
      <c r="AI18" t="e">
        <f>VLOOKUP($S$2&amp;$M18,選手情報!$B$6:$BD$119,55,FALSE)</f>
        <v>#N/A</v>
      </c>
      <c r="AJ18">
        <v>4</v>
      </c>
    </row>
    <row r="19" spans="1:36" ht="21.95" customHeight="1">
      <c r="A19" s="411"/>
      <c r="B19" s="415" t="str">
        <f>IF(学校情報!$A$4&lt;&gt;"","",IF(ISNA(S19),"",S19))</f>
        <v/>
      </c>
      <c r="C19" s="416"/>
      <c r="D19" s="34" t="str">
        <f>IF(学校情報!$A$4&lt;&gt;"","",IF(ISNA(T19),"",T19))</f>
        <v/>
      </c>
      <c r="E19" s="34" t="str">
        <f>IF(学校情報!$A$4&lt;&gt;"","",IF(ISNA(U19),"",U19))</f>
        <v/>
      </c>
      <c r="F19" s="37" t="str">
        <f>IF(学校情報!$A$4&lt;&gt;"","",IF(ISNA(V19),"",V19))</f>
        <v/>
      </c>
      <c r="G19" s="419"/>
      <c r="H19" s="415" t="str">
        <f>IF(学校情報!$A$4&lt;&gt;"","",IF(ISNA(VLOOKUP(AJ19,リレーチーム情報!$A$5:$S$10,9,FALSE)),"",VLOOKUP(AJ19,リレーチーム情報!$A$5:$S$10,9,FALSE)))</f>
        <v/>
      </c>
      <c r="I19" s="416"/>
      <c r="J19" s="34" t="str">
        <f>IF(学校情報!$A$4&lt;&gt;"","",IF(ISNA(VLOOKUP(AJ19,リレーチーム情報!$A$5:$S$10,10,FALSE)),"",VLOOKUP(AJ19,リレーチーム情報!$A$5:$S$10,10,FALSE)))</f>
        <v/>
      </c>
      <c r="K19" s="420"/>
      <c r="L19" s="422"/>
      <c r="M19" s="419"/>
      <c r="N19" s="415" t="str">
        <f>IF(学校情報!$A$4&lt;&gt;"","",IF(ISNA(AE19),"",AE19))</f>
        <v/>
      </c>
      <c r="O19" s="416"/>
      <c r="P19" s="34" t="str">
        <f>IF(学校情報!$A$4&lt;&gt;"","",IF(ISNA(AF19),"",AF19))</f>
        <v/>
      </c>
      <c r="Q19" s="34" t="str">
        <f>IF(学校情報!$A$4&lt;&gt;"","",IF(ISNA(AG19),"",AG19))</f>
        <v/>
      </c>
      <c r="R19" s="37" t="str">
        <f>IF(学校情報!$A$4&lt;&gt;"","",IF(ISNA(AH19),"",AH19))</f>
        <v/>
      </c>
      <c r="S19" t="e">
        <f ca="1">VLOOKUP($S$2&amp;$A18,OFFSET(選手情報!$B$6:$H$119,W18,0),5,FALSE)</f>
        <v>#N/A</v>
      </c>
      <c r="T19" t="e">
        <f ca="1">VLOOKUP($S$2&amp;$A18,OFFSET(選手情報!$B$6:$H$119,W18,0),7,FALSE)</f>
        <v>#N/A</v>
      </c>
      <c r="U19" t="e">
        <f ca="1">VLOOKUP($S$2&amp;$A18,OFFSET(選手情報!$B$6:$P$119,W18,0),15,FALSE)</f>
        <v>#N/A</v>
      </c>
      <c r="V19" t="e">
        <f ca="1">VLOOKUP($S$2&amp;$A18,OFFSET(選手情報!$B$6:$T$119,W18,0),19,FALSE)</f>
        <v>#N/A</v>
      </c>
      <c r="W19" t="e">
        <f ca="1">VLOOKUP($S$2&amp;$A18,OFFSET(選手情報!$B$6:$BD$119,W18,0),55,FALSE)</f>
        <v>#N/A</v>
      </c>
      <c r="AE19" t="e">
        <f ca="1">VLOOKUP($S$2&amp;$M18,OFFSET(選手情報!$B$6:$H$119,AI18,0),5,FALSE)</f>
        <v>#N/A</v>
      </c>
      <c r="AF19" t="e">
        <f ca="1">VLOOKUP($S$2&amp;$M18,OFFSET(選手情報!$B$6:$H$119,AI18,0),7,FALSE)</f>
        <v>#N/A</v>
      </c>
      <c r="AG19" t="e">
        <f ca="1">VLOOKUP($S$2&amp;$M18,OFFSET(選手情報!$B$6:$P$119,AI18,0),15,FALSE)</f>
        <v>#N/A</v>
      </c>
      <c r="AH19" t="e">
        <f ca="1">VLOOKUP($S$2&amp;$M18,OFFSET(選手情報!$B$6:$T$119,AI18,0),19,FALSE)</f>
        <v>#N/A</v>
      </c>
      <c r="AI19" t="e">
        <f ca="1">VLOOKUP($S$2&amp;$M18,OFFSET(選手情報!$B$6:$BD$119,AI18,0),55,FALSE)</f>
        <v>#N/A</v>
      </c>
      <c r="AJ19">
        <v>5</v>
      </c>
    </row>
    <row r="20" spans="1:36" ht="21.95" customHeight="1" thickBot="1">
      <c r="A20" s="396"/>
      <c r="B20" s="417" t="str">
        <f>IF(学校情報!$A$4&lt;&gt;"","",IF(ISNA(S20),"",S20))</f>
        <v/>
      </c>
      <c r="C20" s="418"/>
      <c r="D20" s="35" t="str">
        <f>IF(学校情報!$A$4&lt;&gt;"","",IF(ISNA(T20),"",T20))</f>
        <v/>
      </c>
      <c r="E20" s="35" t="str">
        <f>IF(学校情報!$A$4&lt;&gt;"","",IF(ISNA(U20),"",U20))</f>
        <v/>
      </c>
      <c r="F20" s="38" t="str">
        <f>IF(学校情報!$A$4&lt;&gt;"","",IF(ISNA(V20),"",V20))</f>
        <v/>
      </c>
      <c r="G20" s="406"/>
      <c r="H20" s="417" t="str">
        <f>IF(学校情報!$A$4&lt;&gt;"","",IF(ISNA(VLOOKUP(AJ20,リレーチーム情報!$A$5:$S$10,9,FALSE)),"",VLOOKUP(AJ20,リレーチーム情報!$A$5:$S$10,9,FALSE)))</f>
        <v/>
      </c>
      <c r="I20" s="418"/>
      <c r="J20" s="41" t="str">
        <f>IF(学校情報!$A$4&lt;&gt;"","",IF(ISNA(VLOOKUP(AJ20,リレーチーム情報!$A$5:$S$10,10,FALSE)),"",VLOOKUP(AJ20,リレーチーム情報!$A$5:$S$10,10,FALSE)))</f>
        <v/>
      </c>
      <c r="K20" s="408"/>
      <c r="L20" s="423"/>
      <c r="M20" s="406"/>
      <c r="N20" s="417" t="str">
        <f>IF(学校情報!$A$4&lt;&gt;"","",IF(ISNA(AE20),"",AE20))</f>
        <v/>
      </c>
      <c r="O20" s="418"/>
      <c r="P20" s="35" t="str">
        <f>IF(学校情報!$A$4&lt;&gt;"","",IF(ISNA(AF20),"",AF20))</f>
        <v/>
      </c>
      <c r="Q20" s="35" t="str">
        <f>IF(学校情報!$A$4&lt;&gt;"","",IF(ISNA(AG20),"",AG20))</f>
        <v/>
      </c>
      <c r="R20" s="38" t="str">
        <f>IF(学校情報!$A$4&lt;&gt;"","",IF(ISNA(AH20),"",AH20))</f>
        <v/>
      </c>
      <c r="S20" t="e">
        <f ca="1">VLOOKUP($S$2&amp;$A18,OFFSET(選手情報!$B$6:$H$119,W19,0),5,FALSE)</f>
        <v>#N/A</v>
      </c>
      <c r="T20" t="e">
        <f ca="1">VLOOKUP($S$2&amp;$A18,OFFSET(選手情報!$B$6:$H$119,W19,0),7,FALSE)</f>
        <v>#N/A</v>
      </c>
      <c r="U20" t="e">
        <f ca="1">VLOOKUP($S$2&amp;$A18,OFFSET(選手情報!$B$6:$P$119,W19,0),15,FALSE)</f>
        <v>#N/A</v>
      </c>
      <c r="V20" t="e">
        <f ca="1">VLOOKUP($S$2&amp;$A18,OFFSET(選手情報!$B$6:$T$119,W19,0),19,FALSE)</f>
        <v>#N/A</v>
      </c>
      <c r="W20" t="e">
        <f ca="1">VLOOKUP($S$2&amp;$A18,OFFSET(選手情報!$B$6:$BD$119,W19,0),55,FALSE)</f>
        <v>#N/A</v>
      </c>
      <c r="AE20" t="e">
        <f ca="1">VLOOKUP($S$2&amp;$M18,OFFSET(選手情報!$B$6:$H$119,AI19,0),5,FALSE)</f>
        <v>#N/A</v>
      </c>
      <c r="AF20" t="e">
        <f ca="1">VLOOKUP($S$2&amp;$M18,OFFSET(選手情報!$B$6:$H$119,AI19,0),7,FALSE)</f>
        <v>#N/A</v>
      </c>
      <c r="AG20" t="e">
        <f ca="1">VLOOKUP($S$2&amp;$M18,OFFSET(選手情報!$B$6:$P$119,AI19,0),15,FALSE)</f>
        <v>#N/A</v>
      </c>
      <c r="AH20" t="e">
        <f ca="1">VLOOKUP($S$2&amp;$M18,OFFSET(選手情報!$B$6:$T$119,AI19,0),19,FALSE)</f>
        <v>#N/A</v>
      </c>
      <c r="AI20" t="e">
        <f ca="1">VLOOKUP($S$2&amp;$M18,OFFSET(選手情報!$B$6:$BD$119,AI19,0),55,FALSE)</f>
        <v>#N/A</v>
      </c>
      <c r="AJ20">
        <v>6</v>
      </c>
    </row>
    <row r="21" spans="1:36" ht="21.95" customHeight="1">
      <c r="A21" s="395" t="str">
        <f>設定!D7</f>
        <v>5000m</v>
      </c>
      <c r="B21" s="413" t="str">
        <f>IF(学校情報!$A$4&lt;&gt;"","",IF(ISNA(S21),"",S21))</f>
        <v/>
      </c>
      <c r="C21" s="414"/>
      <c r="D21" s="33" t="str">
        <f>IF(学校情報!$A$4&lt;&gt;"","",IF(ISNA(T21),"",T21))</f>
        <v/>
      </c>
      <c r="E21" s="33" t="str">
        <f>IF(学校情報!$A$4&lt;&gt;"","",IF(ISNA(U21),"",U21))</f>
        <v/>
      </c>
      <c r="F21" s="36" t="str">
        <f>IF(学校情報!$A$4&lt;&gt;"","",IF(ISNA(V21),"",V21))</f>
        <v/>
      </c>
      <c r="G21" s="403" t="s">
        <v>150</v>
      </c>
      <c r="H21" s="413" t="str">
        <f>IF(学校情報!$A$4&lt;&gt;"","",IF(ISNA(VLOOKUP(AJ21,リレーチーム情報!$A$11:$S$16,9,FALSE)),"",VLOOKUP(AJ21,リレーチーム情報!$A$11:$S$16,9,FALSE)))</f>
        <v/>
      </c>
      <c r="I21" s="414"/>
      <c r="J21" s="34" t="str">
        <f>IF(学校情報!$A$4&lt;&gt;"","",IF(ISNA(VLOOKUP(AJ21,リレーチーム情報!$A$11:$S$16,10,FALSE)),"",VLOOKUP(AJ21,リレーチーム情報!$A$11:$S$16,10,FALSE)))</f>
        <v/>
      </c>
      <c r="K21" s="405" t="str">
        <f>IF(学校情報!$A$4&lt;&gt;"","",IF(AND(リレーチーム情報!T11="〇",リレーチーム情報!Q11&lt;&gt;""),リレーチーム情報!Q11,""))</f>
        <v/>
      </c>
      <c r="L21" s="421" t="str">
        <f>IF(学校情報!$A$4&lt;&gt;"","",IF(K21&lt;&gt;"",リレーチーム情報!S11,""))</f>
        <v/>
      </c>
      <c r="M21" s="403" t="str">
        <f>設定!D22</f>
        <v>ハンマー投</v>
      </c>
      <c r="N21" s="413" t="str">
        <f>IF(学校情報!$A$4&lt;&gt;"","",IF(ISNA(AE21),"",AE21))</f>
        <v/>
      </c>
      <c r="O21" s="414"/>
      <c r="P21" s="33" t="str">
        <f>IF(学校情報!$A$4&lt;&gt;"","",IF(ISNA(AF21),"",AF21))</f>
        <v/>
      </c>
      <c r="Q21" s="33" t="str">
        <f>IF(学校情報!$A$4&lt;&gt;"","",IF(ISNA(AG21),"",AG21))</f>
        <v/>
      </c>
      <c r="R21" s="36" t="str">
        <f>IF(学校情報!$A$4&lt;&gt;"","",IF(ISNA(AH21),"",AH21))</f>
        <v/>
      </c>
      <c r="S21" t="e">
        <f>VLOOKUP($S$2&amp;$A21,選手情報!$B$6:$H$119,5,FALSE)</f>
        <v>#N/A</v>
      </c>
      <c r="T21" t="e">
        <f>VLOOKUP($S$2&amp;$A21,選手情報!$B$6:$H$119,7,FALSE)</f>
        <v>#N/A</v>
      </c>
      <c r="U21" t="e">
        <f>VLOOKUP($S$2&amp;$A21,選手情報!$B$6:$P$119,15,FALSE)</f>
        <v>#N/A</v>
      </c>
      <c r="V21" t="e">
        <f>VLOOKUP($S$2&amp;$A21,選手情報!$B$6:$T$119,19,FALSE)</f>
        <v>#N/A</v>
      </c>
      <c r="W21" t="e">
        <f>VLOOKUP($S$2&amp;$A21,選手情報!$B$6:$BD$119,55,FALSE)</f>
        <v>#N/A</v>
      </c>
      <c r="AE21" t="e">
        <f>VLOOKUP($S$2&amp;$M21,選手情報!$B$6:$H$119,5,FALSE)</f>
        <v>#N/A</v>
      </c>
      <c r="AF21" t="e">
        <f>VLOOKUP($S$2&amp;$M21,選手情報!$B$6:$H$119,7,FALSE)</f>
        <v>#N/A</v>
      </c>
      <c r="AG21" t="e">
        <f>VLOOKUP($S$2&amp;$M21,選手情報!$B$6:$P$119,15,FALSE)</f>
        <v>#N/A</v>
      </c>
      <c r="AH21" t="e">
        <f>VLOOKUP($S$2&amp;$M21,選手情報!$B$6:$T$119,19,FALSE)</f>
        <v>#N/A</v>
      </c>
      <c r="AI21" t="e">
        <f>VLOOKUP($S$2&amp;$M21,選手情報!$B$6:$BD$119,55,FALSE)</f>
        <v>#N/A</v>
      </c>
      <c r="AJ21">
        <v>1</v>
      </c>
    </row>
    <row r="22" spans="1:36" ht="21.95" customHeight="1">
      <c r="A22" s="411"/>
      <c r="B22" s="415" t="str">
        <f>IF(学校情報!$A$4&lt;&gt;"","",IF(ISNA(S22),"",S22))</f>
        <v/>
      </c>
      <c r="C22" s="416"/>
      <c r="D22" s="34" t="str">
        <f>IF(学校情報!$A$4&lt;&gt;"","",IF(ISNA(T22),"",T22))</f>
        <v/>
      </c>
      <c r="E22" s="34" t="str">
        <f>IF(学校情報!$A$4&lt;&gt;"","",IF(ISNA(U22),"",U22))</f>
        <v/>
      </c>
      <c r="F22" s="37" t="str">
        <f>IF(学校情報!$A$4&lt;&gt;"","",IF(ISNA(V22),"",V22))</f>
        <v/>
      </c>
      <c r="G22" s="419"/>
      <c r="H22" s="415" t="str">
        <f>IF(学校情報!$A$4&lt;&gt;"","",IF(ISNA(VLOOKUP(AJ22,リレーチーム情報!$A$11:$S$16,9,FALSE)),"",VLOOKUP(AJ22,リレーチーム情報!$A$11:$S$16,9,FALSE)))</f>
        <v/>
      </c>
      <c r="I22" s="416"/>
      <c r="J22" s="34" t="str">
        <f>IF(学校情報!$A$4&lt;&gt;"","",IF(ISNA(VLOOKUP(AJ22,リレーチーム情報!$A$11:$S$16,10,FALSE)),"",VLOOKUP(AJ22,リレーチーム情報!$A$11:$S$16,10,FALSE)))</f>
        <v/>
      </c>
      <c r="K22" s="420"/>
      <c r="L22" s="422"/>
      <c r="M22" s="419"/>
      <c r="N22" s="415" t="str">
        <f>IF(学校情報!$A$4&lt;&gt;"","",IF(ISNA(AE22),"",AE22))</f>
        <v/>
      </c>
      <c r="O22" s="416"/>
      <c r="P22" s="34" t="str">
        <f>IF(学校情報!$A$4&lt;&gt;"","",IF(ISNA(AF22),"",AF22))</f>
        <v/>
      </c>
      <c r="Q22" s="34" t="str">
        <f>IF(学校情報!$A$4&lt;&gt;"","",IF(ISNA(AG22),"",AG22))</f>
        <v/>
      </c>
      <c r="R22" s="37" t="str">
        <f>IF(学校情報!$A$4&lt;&gt;"","",IF(ISNA(AH22),"",AH22))</f>
        <v/>
      </c>
      <c r="S22" t="e">
        <f ca="1">VLOOKUP($S$2&amp;$A21,OFFSET(選手情報!$B$6:$H$119,W21,0),5,FALSE)</f>
        <v>#N/A</v>
      </c>
      <c r="T22" t="e">
        <f ca="1">VLOOKUP($S$2&amp;$A21,OFFSET(選手情報!$B$6:$H$119,W21,0),7,FALSE)</f>
        <v>#N/A</v>
      </c>
      <c r="U22" t="e">
        <f ca="1">VLOOKUP($S$2&amp;$A21,OFFSET(選手情報!$B$6:$P$119,W21,0),15,FALSE)</f>
        <v>#N/A</v>
      </c>
      <c r="V22" t="e">
        <f ca="1">VLOOKUP($S$2&amp;$A21,OFFSET(選手情報!$B$6:$T$119,W21,0),19,FALSE)</f>
        <v>#N/A</v>
      </c>
      <c r="W22" t="e">
        <f ca="1">VLOOKUP($S$2&amp;$A21,OFFSET(選手情報!$B$6:$BD$119,W21,0),55,FALSE)</f>
        <v>#N/A</v>
      </c>
      <c r="AE22" t="e">
        <f ca="1">VLOOKUP($S$2&amp;$M21,OFFSET(選手情報!$B$6:$H$119,AI21,0),5,FALSE)</f>
        <v>#N/A</v>
      </c>
      <c r="AF22" t="e">
        <f ca="1">VLOOKUP($S$2&amp;$M21,OFFSET(選手情報!$B$6:$H$119,AI21,0),7,FALSE)</f>
        <v>#N/A</v>
      </c>
      <c r="AG22" t="e">
        <f ca="1">VLOOKUP($S$2&amp;$M21,OFFSET(選手情報!$B$6:$P$119,AI21,0),15,FALSE)</f>
        <v>#N/A</v>
      </c>
      <c r="AH22" t="e">
        <f ca="1">VLOOKUP($S$2&amp;$M21,OFFSET(選手情報!$B$6:$T$119,AI21,0),19,FALSE)</f>
        <v>#N/A</v>
      </c>
      <c r="AI22" t="e">
        <f ca="1">VLOOKUP($S$2&amp;$M21,OFFSET(選手情報!$B$6:$BD$119,AI21,0),55,FALSE)</f>
        <v>#N/A</v>
      </c>
      <c r="AJ22">
        <v>2</v>
      </c>
    </row>
    <row r="23" spans="1:36" ht="21.95" customHeight="1" thickBot="1">
      <c r="A23" s="396"/>
      <c r="B23" s="417" t="str">
        <f>IF(学校情報!$A$4&lt;&gt;"","",IF(ISNA(S23),"",S23))</f>
        <v/>
      </c>
      <c r="C23" s="418"/>
      <c r="D23" s="35" t="str">
        <f>IF(学校情報!$A$4&lt;&gt;"","",IF(ISNA(T23),"",T23))</f>
        <v/>
      </c>
      <c r="E23" s="35" t="str">
        <f>IF(学校情報!$A$4&lt;&gt;"","",IF(ISNA(U23),"",U23))</f>
        <v/>
      </c>
      <c r="F23" s="38" t="str">
        <f>IF(学校情報!$A$4&lt;&gt;"","",IF(ISNA(V23),"",V23))</f>
        <v/>
      </c>
      <c r="G23" s="419"/>
      <c r="H23" s="415" t="str">
        <f>IF(学校情報!$A$4&lt;&gt;"","",IF(ISNA(VLOOKUP(AJ23,リレーチーム情報!$A$11:$S$16,9,FALSE)),"",VLOOKUP(AJ23,リレーチーム情報!$A$11:$S$16,9,FALSE)))</f>
        <v/>
      </c>
      <c r="I23" s="416"/>
      <c r="J23" s="34" t="str">
        <f>IF(学校情報!$A$4&lt;&gt;"","",IF(ISNA(VLOOKUP(AJ23,リレーチーム情報!$A$11:$S$16,10,FALSE)),"",VLOOKUP(AJ23,リレーチーム情報!$A$11:$S$16,10,FALSE)))</f>
        <v/>
      </c>
      <c r="K23" s="420"/>
      <c r="L23" s="422"/>
      <c r="M23" s="406"/>
      <c r="N23" s="417" t="str">
        <f>IF(学校情報!$A$4&lt;&gt;"","",IF(ISNA(AE23),"",AE23))</f>
        <v/>
      </c>
      <c r="O23" s="418"/>
      <c r="P23" s="35" t="str">
        <f>IF(学校情報!$A$4&lt;&gt;"","",IF(ISNA(AF23),"",AF23))</f>
        <v/>
      </c>
      <c r="Q23" s="35" t="str">
        <f>IF(学校情報!$A$4&lt;&gt;"","",IF(ISNA(AG23),"",AG23))</f>
        <v/>
      </c>
      <c r="R23" s="38" t="str">
        <f>IF(学校情報!$A$4&lt;&gt;"","",IF(ISNA(AH23),"",AH23))</f>
        <v/>
      </c>
      <c r="S23" t="e">
        <f ca="1">VLOOKUP($S$2&amp;$A21,OFFSET(選手情報!$B$6:$H$119,W22,0),5,FALSE)</f>
        <v>#N/A</v>
      </c>
      <c r="T23" t="e">
        <f ca="1">VLOOKUP($S$2&amp;$A21,OFFSET(選手情報!$B$6:$H$119,W22,0),7,FALSE)</f>
        <v>#N/A</v>
      </c>
      <c r="U23" t="e">
        <f ca="1">VLOOKUP($S$2&amp;$A21,OFFSET(選手情報!$B$6:$P$119,W22,0),15,FALSE)</f>
        <v>#N/A</v>
      </c>
      <c r="V23" t="e">
        <f ca="1">VLOOKUP($S$2&amp;$A21,OFFSET(選手情報!$B$6:$T$119,W22,0),19,FALSE)</f>
        <v>#N/A</v>
      </c>
      <c r="W23" t="e">
        <f ca="1">VLOOKUP($S$2&amp;$A21,OFFSET(選手情報!$B$6:$BD$119,W22,0),55,FALSE)</f>
        <v>#N/A</v>
      </c>
      <c r="AE23" t="e">
        <f ca="1">VLOOKUP($S$2&amp;$M21,OFFSET(選手情報!$B$6:$H$119,AI22,0),5,FALSE)</f>
        <v>#N/A</v>
      </c>
      <c r="AF23" t="e">
        <f ca="1">VLOOKUP($S$2&amp;$M21,OFFSET(選手情報!$B$6:$H$119,AI22,0),7,FALSE)</f>
        <v>#N/A</v>
      </c>
      <c r="AG23" t="e">
        <f ca="1">VLOOKUP($S$2&amp;$M21,OFFSET(選手情報!$B$6:$P$119,AI22,0),15,FALSE)</f>
        <v>#N/A</v>
      </c>
      <c r="AH23" t="e">
        <f ca="1">VLOOKUP($S$2&amp;$M21,OFFSET(選手情報!$B$6:$T$119,AI22,0),19,FALSE)</f>
        <v>#N/A</v>
      </c>
      <c r="AI23" t="e">
        <f ca="1">VLOOKUP($S$2&amp;$M21,OFFSET(選手情報!$B$6:$BD$119,AI22,0),55,FALSE)</f>
        <v>#N/A</v>
      </c>
      <c r="AJ23">
        <v>3</v>
      </c>
    </row>
    <row r="24" spans="1:36" ht="21.95" customHeight="1">
      <c r="A24" s="395" t="str">
        <f>設定!D8</f>
        <v>10000m</v>
      </c>
      <c r="B24" s="413" t="str">
        <f>IF(学校情報!$A$4&lt;&gt;"","",IF(ISNA(S24),"",S24))</f>
        <v/>
      </c>
      <c r="C24" s="414"/>
      <c r="D24" s="33" t="str">
        <f>IF(学校情報!$A$4&lt;&gt;"","",IF(ISNA(T24),"",T24))</f>
        <v/>
      </c>
      <c r="E24" s="33" t="str">
        <f>IF(学校情報!$A$4&lt;&gt;"","",IF(ISNA(U24),"",U24))</f>
        <v/>
      </c>
      <c r="F24" s="36" t="str">
        <f>IF(学校情報!$A$4&lt;&gt;"","",IF(ISNA(V24),"",V24))</f>
        <v/>
      </c>
      <c r="G24" s="419"/>
      <c r="H24" s="415" t="str">
        <f>IF(学校情報!$A$4&lt;&gt;"","",IF(ISNA(VLOOKUP(AJ24,リレーチーム情報!$A$11:$S$16,9,FALSE)),"",VLOOKUP(AJ24,リレーチーム情報!$A$11:$S$16,9,FALSE)))</f>
        <v/>
      </c>
      <c r="I24" s="416"/>
      <c r="J24" s="88" t="str">
        <f>IF(学校情報!$A$4&lt;&gt;"","",IF(ISNA(VLOOKUP(AJ24,リレーチーム情報!$A$11:$S$16,10,FALSE)),"",VLOOKUP(AJ24,リレーチーム情報!$A$11:$S$16,10,FALSE)))</f>
        <v/>
      </c>
      <c r="K24" s="420"/>
      <c r="L24" s="422"/>
      <c r="M24" s="403" t="str">
        <f>設定!D23</f>
        <v>やり投</v>
      </c>
      <c r="N24" s="413" t="str">
        <f>IF(学校情報!$A$4&lt;&gt;"","",IF(ISNA(AE24),"",AE24))</f>
        <v/>
      </c>
      <c r="O24" s="414"/>
      <c r="P24" s="33" t="str">
        <f>IF(学校情報!$A$4&lt;&gt;"","",IF(ISNA(AF24),"",AF24))</f>
        <v/>
      </c>
      <c r="Q24" s="33" t="str">
        <f>IF(学校情報!$A$4&lt;&gt;"","",IF(ISNA(AG24),"",AG24))</f>
        <v/>
      </c>
      <c r="R24" s="36" t="str">
        <f>IF(学校情報!$A$4&lt;&gt;"","",IF(ISNA(AH24),"",AH24))</f>
        <v/>
      </c>
      <c r="S24" t="e">
        <f>VLOOKUP($S$2&amp;$A24,選手情報!$B$6:$H$119,5,FALSE)</f>
        <v>#N/A</v>
      </c>
      <c r="T24" t="e">
        <f>VLOOKUP($S$2&amp;$A24,選手情報!$B$6:$H$119,7,FALSE)</f>
        <v>#N/A</v>
      </c>
      <c r="U24" t="e">
        <f>VLOOKUP($S$2&amp;$A24,選手情報!$B$6:$P$119,15,FALSE)</f>
        <v>#N/A</v>
      </c>
      <c r="V24" t="e">
        <f>VLOOKUP($S$2&amp;$A24,選手情報!$B$6:$T$119,19,FALSE)</f>
        <v>#N/A</v>
      </c>
      <c r="W24" t="e">
        <f>VLOOKUP($S$2&amp;$A24,選手情報!$B$6:$BD$119,55,FALSE)</f>
        <v>#N/A</v>
      </c>
      <c r="AE24" t="e">
        <f>VLOOKUP($S$2&amp;$M24,選手情報!$B$6:$H$119,5,FALSE)</f>
        <v>#N/A</v>
      </c>
      <c r="AF24" t="e">
        <f>VLOOKUP($S$2&amp;$M24,選手情報!$B$6:$H$119,7,FALSE)</f>
        <v>#N/A</v>
      </c>
      <c r="AG24" t="e">
        <f>VLOOKUP($S$2&amp;$M24,選手情報!$B$6:$P$119,15,FALSE)</f>
        <v>#N/A</v>
      </c>
      <c r="AH24" t="e">
        <f>VLOOKUP($S$2&amp;$M24,選手情報!$B$6:$T$119,19,FALSE)</f>
        <v>#N/A</v>
      </c>
      <c r="AI24" t="e">
        <f>VLOOKUP($S$2&amp;$M24,選手情報!$B$6:$BD$119,55,FALSE)</f>
        <v>#N/A</v>
      </c>
      <c r="AJ24">
        <v>4</v>
      </c>
    </row>
    <row r="25" spans="1:36" ht="21.95" customHeight="1">
      <c r="A25" s="411"/>
      <c r="B25" s="415" t="str">
        <f>IF(学校情報!$A$4&lt;&gt;"","",IF(ISNA(S25),"",S25))</f>
        <v/>
      </c>
      <c r="C25" s="416"/>
      <c r="D25" s="34" t="str">
        <f>IF(学校情報!$A$4&lt;&gt;"","",IF(ISNA(T25),"",T25))</f>
        <v/>
      </c>
      <c r="E25" s="34" t="str">
        <f>IF(学校情報!$A$4&lt;&gt;"","",IF(ISNA(U25),"",U25))</f>
        <v/>
      </c>
      <c r="F25" s="37" t="str">
        <f>IF(学校情報!$A$4&lt;&gt;"","",IF(ISNA(V25),"",V25))</f>
        <v/>
      </c>
      <c r="G25" s="419"/>
      <c r="H25" s="415" t="str">
        <f>IF(学校情報!$A$4&lt;&gt;"","",IF(ISNA(VLOOKUP(AJ25,リレーチーム情報!$A$11:$S$16,9,FALSE)),"",VLOOKUP(AJ25,リレーチーム情報!$A$11:$S$16,9,FALSE)))</f>
        <v/>
      </c>
      <c r="I25" s="416"/>
      <c r="J25" s="34" t="str">
        <f>IF(学校情報!$A$4&lt;&gt;"","",IF(ISNA(VLOOKUP(AJ25,リレーチーム情報!$A$11:$S$16,10,FALSE)),"",VLOOKUP(AJ25,リレーチーム情報!$A$11:$S$16,10,FALSE)))</f>
        <v/>
      </c>
      <c r="K25" s="420"/>
      <c r="L25" s="422"/>
      <c r="M25" s="419"/>
      <c r="N25" s="415" t="str">
        <f>IF(学校情報!$A$4&lt;&gt;"","",IF(ISNA(AE25),"",AE25))</f>
        <v/>
      </c>
      <c r="O25" s="416"/>
      <c r="P25" s="34" t="str">
        <f>IF(学校情報!$A$4&lt;&gt;"","",IF(ISNA(AF25),"",AF25))</f>
        <v/>
      </c>
      <c r="Q25" s="34" t="str">
        <f>IF(学校情報!$A$4&lt;&gt;"","",IF(ISNA(AG25),"",AG25))</f>
        <v/>
      </c>
      <c r="R25" s="37" t="str">
        <f>IF(学校情報!$A$4&lt;&gt;"","",IF(ISNA(AH25),"",AH25))</f>
        <v/>
      </c>
      <c r="S25" t="e">
        <f ca="1">VLOOKUP($S$2&amp;$A24,OFFSET(選手情報!$B$6:$H$119,W24,0),5,FALSE)</f>
        <v>#N/A</v>
      </c>
      <c r="T25" t="e">
        <f ca="1">VLOOKUP($S$2&amp;$A24,OFFSET(選手情報!$B$6:$H$119,W24,0),7,FALSE)</f>
        <v>#N/A</v>
      </c>
      <c r="U25" t="e">
        <f ca="1">VLOOKUP($S$2&amp;$A24,OFFSET(選手情報!$B$6:$P$119,W24,0),15,FALSE)</f>
        <v>#N/A</v>
      </c>
      <c r="V25" t="e">
        <f ca="1">VLOOKUP($S$2&amp;$A24,OFFSET(選手情報!$B$6:$T$119,W24,0),19,FALSE)</f>
        <v>#N/A</v>
      </c>
      <c r="W25" t="e">
        <f ca="1">VLOOKUP($S$2&amp;$A24,OFFSET(選手情報!$B$6:$BD$119,W24,0),55,FALSE)</f>
        <v>#N/A</v>
      </c>
      <c r="AE25" t="e">
        <f ca="1">VLOOKUP($S$2&amp;$M24,OFFSET(選手情報!$B$6:$H$119,AI24,0),5,FALSE)</f>
        <v>#N/A</v>
      </c>
      <c r="AF25" t="e">
        <f ca="1">VLOOKUP($S$2&amp;$M24,OFFSET(選手情報!$B$6:$H$119,AI24,0),7,FALSE)</f>
        <v>#N/A</v>
      </c>
      <c r="AG25" t="e">
        <f ca="1">VLOOKUP($S$2&amp;$M24,OFFSET(選手情報!$B$6:$P$119,AI24,0),15,FALSE)</f>
        <v>#N/A</v>
      </c>
      <c r="AH25" t="e">
        <f ca="1">VLOOKUP($S$2&amp;$M24,OFFSET(選手情報!$B$6:$T$119,AI24,0),19,FALSE)</f>
        <v>#N/A</v>
      </c>
      <c r="AI25" t="e">
        <f ca="1">VLOOKUP($S$2&amp;$M24,OFFSET(選手情報!$B$6:$BD$119,AI24,0),55,FALSE)</f>
        <v>#N/A</v>
      </c>
      <c r="AJ25">
        <v>5</v>
      </c>
    </row>
    <row r="26" spans="1:36" ht="21.95" customHeight="1" thickBot="1">
      <c r="A26" s="396"/>
      <c r="B26" s="417" t="str">
        <f>IF(学校情報!$A$4&lt;&gt;"","",IF(ISNA(S26),"",S26))</f>
        <v/>
      </c>
      <c r="C26" s="418"/>
      <c r="D26" s="35" t="str">
        <f>IF(学校情報!$A$4&lt;&gt;"","",IF(ISNA(T26),"",T26))</f>
        <v/>
      </c>
      <c r="E26" s="35" t="str">
        <f>IF(学校情報!$A$4&lt;&gt;"","",IF(ISNA(U26),"",U26))</f>
        <v/>
      </c>
      <c r="F26" s="38" t="str">
        <f>IF(学校情報!$A$4&lt;&gt;"","",IF(ISNA(V26),"",V26))</f>
        <v/>
      </c>
      <c r="G26" s="406"/>
      <c r="H26" s="417" t="str">
        <f>IF(学校情報!$A$4&lt;&gt;"","",IF(ISNA(VLOOKUP(AJ26,リレーチーム情報!$A$11:$S$16,9,FALSE)),"",VLOOKUP(AJ26,リレーチーム情報!$A$11:$S$16,9,FALSE)))</f>
        <v/>
      </c>
      <c r="I26" s="418"/>
      <c r="J26" s="41" t="str">
        <f>IF(学校情報!$A$4&lt;&gt;"","",IF(ISNA(VLOOKUP(AJ26,リレーチーム情報!$A$11:$S$16,10,FALSE)),"",VLOOKUP(AJ26,リレーチーム情報!$A$11:$S$16,10,FALSE)))</f>
        <v/>
      </c>
      <c r="K26" s="408"/>
      <c r="L26" s="423"/>
      <c r="M26" s="406"/>
      <c r="N26" s="417" t="str">
        <f>IF(学校情報!$A$4&lt;&gt;"","",IF(ISNA(AE26),"",AE26))</f>
        <v/>
      </c>
      <c r="O26" s="418"/>
      <c r="P26" s="35" t="str">
        <f>IF(学校情報!$A$4&lt;&gt;"","",IF(ISNA(AF26),"",AF26))</f>
        <v/>
      </c>
      <c r="Q26" s="35" t="str">
        <f>IF(学校情報!$A$4&lt;&gt;"","",IF(ISNA(AG26),"",AG26))</f>
        <v/>
      </c>
      <c r="R26" s="38" t="str">
        <f>IF(学校情報!$A$4&lt;&gt;"","",IF(ISNA(AH26),"",AH26))</f>
        <v/>
      </c>
      <c r="S26" t="e">
        <f ca="1">VLOOKUP($S$2&amp;$A24,OFFSET(選手情報!$B$6:$H$119,W25,0),5,FALSE)</f>
        <v>#N/A</v>
      </c>
      <c r="T26" t="e">
        <f ca="1">VLOOKUP($S$2&amp;$A24,OFFSET(選手情報!$B$6:$H$119,W25,0),7,FALSE)</f>
        <v>#N/A</v>
      </c>
      <c r="U26" t="e">
        <f ca="1">VLOOKUP($S$2&amp;$A24,OFFSET(選手情報!$B$6:$P$119,W25,0),15,FALSE)</f>
        <v>#N/A</v>
      </c>
      <c r="V26" t="e">
        <f ca="1">VLOOKUP($S$2&amp;$A24,OFFSET(選手情報!$B$6:$T$119,W25,0),19,FALSE)</f>
        <v>#N/A</v>
      </c>
      <c r="W26" t="e">
        <f ca="1">VLOOKUP($S$2&amp;$A24,OFFSET(選手情報!$B$6:$BD$119,W25,0),55,FALSE)</f>
        <v>#N/A</v>
      </c>
      <c r="AE26" t="e">
        <f ca="1">VLOOKUP($S$2&amp;$M24,OFFSET(選手情報!$B$6:$H$119,AI25,0),5,FALSE)</f>
        <v>#N/A</v>
      </c>
      <c r="AF26" t="e">
        <f ca="1">VLOOKUP($S$2&amp;$M24,OFFSET(選手情報!$B$6:$H$119,AI25,0),7,FALSE)</f>
        <v>#N/A</v>
      </c>
      <c r="AG26" t="e">
        <f ca="1">VLOOKUP($S$2&amp;$M24,OFFSET(選手情報!$B$6:$P$119,AI25,0),15,FALSE)</f>
        <v>#N/A</v>
      </c>
      <c r="AH26" t="e">
        <f ca="1">VLOOKUP($S$2&amp;$M24,OFFSET(選手情報!$B$6:$T$119,AI25,0),19,FALSE)</f>
        <v>#N/A</v>
      </c>
      <c r="AI26" t="e">
        <f ca="1">VLOOKUP($S$2&amp;$M24,OFFSET(選手情報!$B$6:$BD$119,AI25,0),55,FALSE)</f>
        <v>#N/A</v>
      </c>
      <c r="AJ26">
        <v>6</v>
      </c>
    </row>
    <row r="27" spans="1:36" ht="21.95" customHeight="1">
      <c r="A27" s="395" t="str">
        <f>設定!D10</f>
        <v>110mH</v>
      </c>
      <c r="B27" s="413" t="str">
        <f>IF(学校情報!$A$4&lt;&gt;"","",IF(ISNA(S27),"",S27))</f>
        <v/>
      </c>
      <c r="C27" s="414"/>
      <c r="D27" s="33" t="str">
        <f>IF(学校情報!$A$4&lt;&gt;"","",IF(ISNA(T27),"",T27))</f>
        <v/>
      </c>
      <c r="E27" s="33" t="str">
        <f>IF(学校情報!$A$4&lt;&gt;"","",IF(ISNA(U27),"",U27))</f>
        <v/>
      </c>
      <c r="F27" s="36" t="str">
        <f>IF(学校情報!$A$4&lt;&gt;"","",IF(ISNA(V27),"",V27))</f>
        <v/>
      </c>
      <c r="G27" s="395" t="str">
        <f>設定!D16</f>
        <v>走高跳</v>
      </c>
      <c r="H27" s="413" t="str">
        <f>IF(学校情報!$A$4&lt;&gt;"","",IF(ISNA(Y27),"",Y27))</f>
        <v/>
      </c>
      <c r="I27" s="414"/>
      <c r="J27" s="33" t="str">
        <f>IF(学校情報!$A$4&lt;&gt;"","",IF(ISNA(Z27),"",Z27))</f>
        <v/>
      </c>
      <c r="K27" s="33" t="str">
        <f>IF(学校情報!$A$4&lt;&gt;"","",IF(ISNA(AA27),"",AA27))</f>
        <v/>
      </c>
      <c r="L27" s="39" t="str">
        <f>IF(学校情報!$A$4&lt;&gt;"","",IF(ISNA(AB27),"",AB27))</f>
        <v/>
      </c>
      <c r="M27" s="424"/>
      <c r="N27" s="398"/>
      <c r="O27" s="398"/>
      <c r="P27" s="398"/>
      <c r="Q27" s="398"/>
      <c r="R27" s="398"/>
      <c r="S27" t="e">
        <f>VLOOKUP($S$2&amp;$A27,選手情報!$B$6:$H$119,5,FALSE)</f>
        <v>#N/A</v>
      </c>
      <c r="T27" t="e">
        <f>VLOOKUP($S$2&amp;$A27,選手情報!$B$6:$H$119,7,FALSE)</f>
        <v>#N/A</v>
      </c>
      <c r="U27" t="e">
        <f>VLOOKUP($S$2&amp;$A27,選手情報!$B$6:$P$119,15,FALSE)</f>
        <v>#N/A</v>
      </c>
      <c r="V27" t="e">
        <f>VLOOKUP($S$2&amp;$A27,選手情報!$B$6:$T$119,19,FALSE)</f>
        <v>#N/A</v>
      </c>
      <c r="W27" t="e">
        <f>VLOOKUP($S$2&amp;$A27,選手情報!$B$6:$BD$119,55,FALSE)</f>
        <v>#N/A</v>
      </c>
      <c r="Y27" t="e">
        <f>VLOOKUP($S$2&amp;$G27,選手情報!$B$6:$H$119,5,FALSE)</f>
        <v>#N/A</v>
      </c>
      <c r="Z27" t="e">
        <f>VLOOKUP($S$2&amp;$G27,選手情報!$B$6:$H$119,7,FALSE)</f>
        <v>#N/A</v>
      </c>
      <c r="AA27" t="e">
        <f>VLOOKUP($S$2&amp;$G27,選手情報!$B$6:$P$119,15,FALSE)</f>
        <v>#N/A</v>
      </c>
      <c r="AB27" t="e">
        <f>VLOOKUP($S$2&amp;$G27,選手情報!$B$6:$T$119,19,FALSE)</f>
        <v>#N/A</v>
      </c>
      <c r="AC27" t="e">
        <f>VLOOKUP($S$2&amp;$G27,選手情報!$B$6:$BD$119,55,FALSE)</f>
        <v>#N/A</v>
      </c>
      <c r="AE27" t="e">
        <f>VLOOKUP($S$2&amp;$M27,選手情報!$B$6:$H$119,5,FALSE)</f>
        <v>#N/A</v>
      </c>
      <c r="AF27" t="e">
        <f>VLOOKUP($S$2&amp;$M27,選手情報!$B$6:$H$119,7,FALSE)</f>
        <v>#N/A</v>
      </c>
      <c r="AG27" t="e">
        <f>VLOOKUP($S$2&amp;$M27,選手情報!$B$6:$P$119,15,FALSE)</f>
        <v>#N/A</v>
      </c>
      <c r="AH27" t="e">
        <f>VLOOKUP($S$2&amp;$M27,選手情報!$B$6:$T$119,19,FALSE)</f>
        <v>#N/A</v>
      </c>
      <c r="AI27" t="e">
        <f>VLOOKUP($S$2&amp;$M27,選手情報!$B$6:$BD$119,55,FALSE)</f>
        <v>#N/A</v>
      </c>
    </row>
    <row r="28" spans="1:36" ht="21.95" customHeight="1">
      <c r="A28" s="411"/>
      <c r="B28" s="415" t="str">
        <f>IF(学校情報!$A$4&lt;&gt;"","",IF(ISNA(S28),"",S28))</f>
        <v/>
      </c>
      <c r="C28" s="416"/>
      <c r="D28" s="34" t="str">
        <f>IF(学校情報!$A$4&lt;&gt;"","",IF(ISNA(T28),"",T28))</f>
        <v/>
      </c>
      <c r="E28" s="34" t="str">
        <f>IF(学校情報!$A$4&lt;&gt;"","",IF(ISNA(U28),"",U28))</f>
        <v/>
      </c>
      <c r="F28" s="37" t="str">
        <f>IF(学校情報!$A$4&lt;&gt;"","",IF(ISNA(V28),"",V28))</f>
        <v/>
      </c>
      <c r="G28" s="411"/>
      <c r="H28" s="415" t="str">
        <f>IF(学校情報!$A$4&lt;&gt;"","",IF(ISNA(Y28),"",Y28))</f>
        <v/>
      </c>
      <c r="I28" s="416"/>
      <c r="J28" s="34" t="str">
        <f>IF(学校情報!$A$4&lt;&gt;"","",IF(ISNA(Z28),"",Z28))</f>
        <v/>
      </c>
      <c r="K28" s="34" t="str">
        <f>IF(学校情報!$A$4&lt;&gt;"","",IF(ISNA(AA28),"",AA28))</f>
        <v/>
      </c>
      <c r="L28" s="40" t="str">
        <f>IF(学校情報!$A$4&lt;&gt;"","",IF(ISNA(AB28),"",AB28))</f>
        <v/>
      </c>
      <c r="M28" s="425"/>
      <c r="N28" s="426"/>
      <c r="O28" s="426"/>
      <c r="P28" s="426"/>
      <c r="Q28" s="426"/>
      <c r="R28" s="426"/>
      <c r="S28" t="e">
        <f ca="1">VLOOKUP($S$2&amp;$A27,OFFSET(選手情報!$B$6:$H$119,W27,0),5,FALSE)</f>
        <v>#N/A</v>
      </c>
      <c r="T28" t="e">
        <f ca="1">VLOOKUP($S$2&amp;$A27,OFFSET(選手情報!$B$6:$H$119,W27,0),7,FALSE)</f>
        <v>#N/A</v>
      </c>
      <c r="U28" t="e">
        <f ca="1">VLOOKUP($S$2&amp;$A27,OFFSET(選手情報!$B$6:$P$119,W27,0),15,FALSE)</f>
        <v>#N/A</v>
      </c>
      <c r="V28" t="e">
        <f ca="1">VLOOKUP($S$2&amp;$A27,OFFSET(選手情報!$B$6:$T$119,W27,0),19,FALSE)</f>
        <v>#N/A</v>
      </c>
      <c r="W28" t="e">
        <f ca="1">VLOOKUP($S$2&amp;$A27,OFFSET(選手情報!$B$6:$BD$119,W27,0),55,FALSE)</f>
        <v>#N/A</v>
      </c>
      <c r="Y28" t="e">
        <f ca="1">VLOOKUP($S$2&amp;$G27,OFFSET(選手情報!$B$6:$H$119,AC27,0),5,FALSE)</f>
        <v>#N/A</v>
      </c>
      <c r="Z28" t="e">
        <f ca="1">VLOOKUP($S$2&amp;$G27,OFFSET(選手情報!$B$6:$H$119,AC27,0),7,FALSE)</f>
        <v>#N/A</v>
      </c>
      <c r="AA28" t="e">
        <f ca="1">VLOOKUP($S$2&amp;$G27,OFFSET(選手情報!$B$6:$P$119,AC27,0),15,FALSE)</f>
        <v>#N/A</v>
      </c>
      <c r="AB28" t="e">
        <f ca="1">VLOOKUP($S$2&amp;$G27,OFFSET(選手情報!$B$6:$T$119,AC27,0),19,FALSE)</f>
        <v>#N/A</v>
      </c>
      <c r="AC28" t="e">
        <f ca="1">VLOOKUP($S$2&amp;$G27,OFFSET(選手情報!$B$6:$BD$119,AC27,0),55,FALSE)</f>
        <v>#N/A</v>
      </c>
      <c r="AE28" t="e">
        <f ca="1">VLOOKUP($S$2&amp;$M27,OFFSET(選手情報!$B$6:$H$119,AI27,0),5,FALSE)</f>
        <v>#N/A</v>
      </c>
      <c r="AF28" t="e">
        <f ca="1">VLOOKUP($S$2&amp;$M27,OFFSET(選手情報!$B$6:$H$119,AI27,0),7,FALSE)</f>
        <v>#N/A</v>
      </c>
      <c r="AG28" t="e">
        <f ca="1">VLOOKUP($S$2&amp;$M27,OFFSET(選手情報!$B$6:$P$119,AI27,0),15,FALSE)</f>
        <v>#N/A</v>
      </c>
      <c r="AH28" t="e">
        <f ca="1">VLOOKUP($S$2&amp;$M27,OFFSET(選手情報!$B$6:$T$119,AI27,0),19,FALSE)</f>
        <v>#N/A</v>
      </c>
      <c r="AI28" t="e">
        <f ca="1">VLOOKUP($S$2&amp;$M27,OFFSET(選手情報!$B$6:$BD$119,AI27,0),55,FALSE)</f>
        <v>#N/A</v>
      </c>
    </row>
    <row r="29" spans="1:36" ht="21.95" customHeight="1" thickBot="1">
      <c r="A29" s="396"/>
      <c r="B29" s="417" t="str">
        <f>IF(学校情報!$A$4&lt;&gt;"","",IF(ISNA(S29),"",S29))</f>
        <v/>
      </c>
      <c r="C29" s="418"/>
      <c r="D29" s="41" t="str">
        <f>IF(学校情報!$A$4&lt;&gt;"","",IF(ISNA(T29),"",T29))</f>
        <v/>
      </c>
      <c r="E29" s="41" t="str">
        <f>IF(学校情報!$A$4&lt;&gt;"","",IF(ISNA(U29),"",U29))</f>
        <v/>
      </c>
      <c r="F29" s="42" t="str">
        <f>IF(学校情報!$A$4&lt;&gt;"","",IF(ISNA(V29),"",V29))</f>
        <v/>
      </c>
      <c r="G29" s="396"/>
      <c r="H29" s="417" t="str">
        <f>IF(学校情報!$A$4&lt;&gt;"","",IF(ISNA(Y29),"",Y29))</f>
        <v/>
      </c>
      <c r="I29" s="418"/>
      <c r="J29" s="41" t="str">
        <f>IF(学校情報!$A$4&lt;&gt;"","",IF(ISNA(Z29),"",Z29))</f>
        <v/>
      </c>
      <c r="K29" s="41" t="str">
        <f>IF(学校情報!$A$4&lt;&gt;"","",IF(ISNA(AA29),"",AA29))</f>
        <v/>
      </c>
      <c r="L29" s="43" t="str">
        <f>IF(学校情報!$A$4&lt;&gt;"","",IF(ISNA(AB29),"",AB29))</f>
        <v/>
      </c>
      <c r="M29" s="425"/>
      <c r="N29" s="426"/>
      <c r="O29" s="426"/>
      <c r="P29" s="426"/>
      <c r="Q29" s="426"/>
      <c r="R29" s="426"/>
      <c r="S29" t="e">
        <f ca="1">VLOOKUP($S$2&amp;$A27,OFFSET(選手情報!$B$6:$H$119,W28,0),5,FALSE)</f>
        <v>#N/A</v>
      </c>
      <c r="T29" t="e">
        <f ca="1">VLOOKUP($S$2&amp;$A27,OFFSET(選手情報!$B$6:$H$119,W28,0),7,FALSE)</f>
        <v>#N/A</v>
      </c>
      <c r="U29" t="e">
        <f ca="1">VLOOKUP($S$2&amp;$A27,OFFSET(選手情報!$B$6:$P$119,W28,0),15,FALSE)</f>
        <v>#N/A</v>
      </c>
      <c r="V29" t="e">
        <f ca="1">VLOOKUP($S$2&amp;$A27,OFFSET(選手情報!$B$6:$T$119,W28,0),19,FALSE)</f>
        <v>#N/A</v>
      </c>
      <c r="W29" t="e">
        <f ca="1">VLOOKUP($S$2&amp;$A27,OFFSET(選手情報!$B$6:$BD$119,W28,0),55,FALSE)</f>
        <v>#N/A</v>
      </c>
      <c r="Y29" t="e">
        <f ca="1">VLOOKUP($S$2&amp;$G27,OFFSET(選手情報!$B$6:$H$119,AC28,0),5,FALSE)</f>
        <v>#N/A</v>
      </c>
      <c r="Z29" t="e">
        <f ca="1">VLOOKUP($S$2&amp;$G27,OFFSET(選手情報!$B$6:$H$119,AC28,0),7,FALSE)</f>
        <v>#N/A</v>
      </c>
      <c r="AA29" t="e">
        <f ca="1">VLOOKUP($S$2&amp;$G27,OFFSET(選手情報!$B$6:$P$119,AC28,0),15,FALSE)</f>
        <v>#N/A</v>
      </c>
      <c r="AB29" t="e">
        <f ca="1">VLOOKUP($S$2&amp;$G27,OFFSET(選手情報!$B$6:$T$119,AC28,0),19,FALSE)</f>
        <v>#N/A</v>
      </c>
      <c r="AC29" t="e">
        <f ca="1">VLOOKUP($S$2&amp;$G27,OFFSET(選手情報!$B$6:$BD$119,AC28,0),55,FALSE)</f>
        <v>#N/A</v>
      </c>
      <c r="AE29" t="e">
        <f ca="1">VLOOKUP($S$2&amp;$M27,OFFSET(選手情報!$B$6:$H$119,AI28,0),5,FALSE)</f>
        <v>#N/A</v>
      </c>
      <c r="AF29" t="e">
        <f ca="1">VLOOKUP($S$2&amp;$M27,OFFSET(選手情報!$B$6:$H$119,AI28,0),7,FALSE)</f>
        <v>#N/A</v>
      </c>
      <c r="AG29" t="e">
        <f ca="1">VLOOKUP($S$2&amp;$M27,OFFSET(選手情報!$B$6:$P$119,AI28,0),15,FALSE)</f>
        <v>#N/A</v>
      </c>
      <c r="AH29" t="e">
        <f ca="1">VLOOKUP($S$2&amp;$M27,OFFSET(選手情報!$B$6:$T$119,AI28,0),19,FALSE)</f>
        <v>#N/A</v>
      </c>
      <c r="AI29" t="e">
        <f ca="1">VLOOKUP($S$2&amp;$M27,OFFSET(選手情報!$B$6:$BD$119,AI28,0),55,FALSE)</f>
        <v>#N/A</v>
      </c>
    </row>
    <row r="30" spans="1:36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 t="s">
        <v>232</v>
      </c>
      <c r="R30" s="15"/>
    </row>
    <row r="31" spans="1:36" ht="24.75" thickBot="1">
      <c r="A31" s="394" t="str">
        <f>設定!B1&amp;"種目別申込表（"&amp;S31&amp;"子）"</f>
        <v>第６８回西日本学生陸上競技対校選手権大会種目別申込表（女子）</v>
      </c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t="s">
        <v>145</v>
      </c>
    </row>
    <row r="32" spans="1:36" ht="20.25" customHeight="1" thickBot="1">
      <c r="A32" s="395" t="s">
        <v>65</v>
      </c>
      <c r="B32" s="397" t="str">
        <f>'様式Ⅰ　総括申込書'!C2</f>
        <v/>
      </c>
      <c r="C32" s="398"/>
      <c r="D32" s="398"/>
      <c r="E32" s="398"/>
      <c r="F32" s="399"/>
      <c r="G32" s="403" t="s">
        <v>131</v>
      </c>
      <c r="H32" s="404"/>
      <c r="I32" s="405"/>
      <c r="J32" s="17" t="s">
        <v>132</v>
      </c>
      <c r="K32" s="18" t="str">
        <f>IF(学校情報!$A$4&lt;&gt;"","",IF('様式Ⅰ　総括申込書'!N12-SUM('様式Ⅰ　総括申込書'!W109:W177)=0,"",'様式Ⅰ　総括申込書'!N12-SUM('様式Ⅰ　総括申込書'!W109:W177)))</f>
        <v/>
      </c>
      <c r="L32" s="19" t="s">
        <v>129</v>
      </c>
      <c r="M32" s="403" t="s">
        <v>133</v>
      </c>
      <c r="N32" s="404"/>
      <c r="O32" s="405"/>
      <c r="P32" s="20" t="s">
        <v>132</v>
      </c>
      <c r="Q32" s="18" t="str">
        <f>IF(学校情報!$A$4&lt;&gt;"","",IF('様式Ⅰ　総括申込書'!N13=0,"",'様式Ⅰ　総括申込書'!N13))</f>
        <v/>
      </c>
      <c r="R32" s="19" t="s">
        <v>129</v>
      </c>
    </row>
    <row r="33" spans="1:36" ht="20.25" customHeight="1" thickTop="1" thickBot="1">
      <c r="A33" s="396"/>
      <c r="B33" s="400"/>
      <c r="C33" s="401"/>
      <c r="D33" s="401"/>
      <c r="E33" s="401"/>
      <c r="F33" s="402"/>
      <c r="G33" s="406" t="s">
        <v>134</v>
      </c>
      <c r="H33" s="407"/>
      <c r="I33" s="408"/>
      <c r="J33" s="21" t="s">
        <v>135</v>
      </c>
      <c r="K33" s="22" t="str">
        <f>IF(学校情報!$A$4&lt;&gt;"","",IF(SUM('様式Ⅰ　総括申込書'!W109:W177)=0,"",SUM('様式Ⅰ　総括申込書'!W109:W177)))</f>
        <v/>
      </c>
      <c r="L33" s="23" t="s">
        <v>129</v>
      </c>
      <c r="M33" s="406" t="s">
        <v>136</v>
      </c>
      <c r="N33" s="407"/>
      <c r="O33" s="408"/>
      <c r="P33" s="24" t="s">
        <v>137</v>
      </c>
      <c r="Q33" s="22" t="str">
        <f>IF(学校情報!$A$4&lt;&gt;"","",IF('様式Ⅰ　総括申込書'!N14=0,"",'様式Ⅰ　総括申込書'!N14))</f>
        <v/>
      </c>
      <c r="R33" s="25" t="s">
        <v>130</v>
      </c>
    </row>
    <row r="34" spans="1:36" ht="20.25" customHeight="1" thickBot="1">
      <c r="A34" s="26" t="s">
        <v>138</v>
      </c>
      <c r="B34" s="409" t="s">
        <v>14</v>
      </c>
      <c r="C34" s="410"/>
      <c r="D34" s="28" t="s">
        <v>15</v>
      </c>
      <c r="E34" s="27" t="s">
        <v>147</v>
      </c>
      <c r="F34" s="29" t="s">
        <v>139</v>
      </c>
      <c r="G34" s="26" t="s">
        <v>138</v>
      </c>
      <c r="H34" s="409" t="s">
        <v>14</v>
      </c>
      <c r="I34" s="410"/>
      <c r="J34" s="28" t="s">
        <v>15</v>
      </c>
      <c r="K34" s="28" t="s">
        <v>148</v>
      </c>
      <c r="L34" s="29" t="s">
        <v>139</v>
      </c>
      <c r="M34" s="26" t="s">
        <v>138</v>
      </c>
      <c r="N34" s="409" t="s">
        <v>14</v>
      </c>
      <c r="O34" s="410"/>
      <c r="P34" s="28" t="s">
        <v>15</v>
      </c>
      <c r="Q34" s="28" t="s">
        <v>148</v>
      </c>
      <c r="R34" s="29" t="s">
        <v>139</v>
      </c>
    </row>
    <row r="35" spans="1:36" ht="21.95" customHeight="1">
      <c r="A35" s="395" t="str">
        <f>設定!K2</f>
        <v>100m</v>
      </c>
      <c r="B35" s="413" t="str">
        <f>IF(学校情報!$A$4&lt;&gt;"","",IF(ISNA(S35),"",S35))</f>
        <v/>
      </c>
      <c r="C35" s="414"/>
      <c r="D35" s="33" t="str">
        <f>IF(学校情報!$A$4&lt;&gt;"","",IF(ISNA(T35),"",T35))</f>
        <v/>
      </c>
      <c r="E35" s="33" t="str">
        <f>IF(学校情報!$A$4&lt;&gt;"","",IF(ISNA(U35),"",U35))</f>
        <v/>
      </c>
      <c r="F35" s="36" t="str">
        <f>IF(学校情報!$A$4&lt;&gt;"","",IF(ISNA(V35),"",V35))</f>
        <v/>
      </c>
      <c r="G35" s="395" t="str">
        <f>設定!K13</f>
        <v>400mH</v>
      </c>
      <c r="H35" s="413" t="str">
        <f>IF(学校情報!$A$4&lt;&gt;"","",IF(ISNA(Y35),"",Y35))</f>
        <v/>
      </c>
      <c r="I35" s="414"/>
      <c r="J35" s="33" t="str">
        <f>IF(学校情報!$A$4&lt;&gt;"","",IF(ISNA(Z35),"",Z35))</f>
        <v/>
      </c>
      <c r="K35" s="33" t="str">
        <f>IF(学校情報!$A$4&lt;&gt;"","",IF(ISNA(AA35),"",AA35))</f>
        <v/>
      </c>
      <c r="L35" s="36" t="str">
        <f>IF(学校情報!$A$4&lt;&gt;"","",IF(ISNA(AB35),"",AB35))</f>
        <v/>
      </c>
      <c r="M35" s="395" t="str">
        <f>設定!K19</f>
        <v>棒高跳</v>
      </c>
      <c r="N35" s="413" t="str">
        <f>IF(学校情報!$A$4&lt;&gt;"","",IF(ISNA(AE35),"",AE35))</f>
        <v/>
      </c>
      <c r="O35" s="414"/>
      <c r="P35" s="33" t="str">
        <f>IF(学校情報!$A$4&lt;&gt;"","",IF(ISNA(AF35),"",AF35))</f>
        <v/>
      </c>
      <c r="Q35" s="33" t="str">
        <f>IF(学校情報!$A$4&lt;&gt;"","",IF(ISNA(AG35),"",AG35))</f>
        <v/>
      </c>
      <c r="R35" s="36" t="str">
        <f>IF(学校情報!$A$4&lt;&gt;"","",IF(ISNA(AH35),"",AH35))</f>
        <v/>
      </c>
      <c r="S35" t="e">
        <f>VLOOKUP($S$31&amp;$A35,選手情報!$B$6:$H$119,5,FALSE)</f>
        <v>#N/A</v>
      </c>
      <c r="T35" t="e">
        <f>VLOOKUP($S$31&amp;$A35,選手情報!$B$6:$H$119,7,FALSE)</f>
        <v>#N/A</v>
      </c>
      <c r="U35" t="e">
        <f>VLOOKUP($S$31&amp;$A35,選手情報!$B$6:$P$119,15,FALSE)</f>
        <v>#N/A</v>
      </c>
      <c r="V35" t="e">
        <f>VLOOKUP($S$31&amp;$A35,選手情報!$B$6:$T$119,19,FALSE)</f>
        <v>#N/A</v>
      </c>
      <c r="W35" t="e">
        <f>VLOOKUP($S$31&amp;$A35,選手情報!$B$6:$BD$119,55,FALSE)</f>
        <v>#N/A</v>
      </c>
      <c r="Y35" t="e">
        <f>VLOOKUP($S$31&amp;$G35,選手情報!$B$6:$H$119,5,FALSE)</f>
        <v>#N/A</v>
      </c>
      <c r="Z35" t="e">
        <f>VLOOKUP($S$31&amp;$G35,選手情報!$B$6:$H$119,7,FALSE)</f>
        <v>#N/A</v>
      </c>
      <c r="AA35" t="e">
        <f>VLOOKUP($S$31&amp;$G35,選手情報!$B$6:$P$119,15,FALSE)</f>
        <v>#N/A</v>
      </c>
      <c r="AB35" t="e">
        <f>VLOOKUP($S$31&amp;$G35,選手情報!$B$6:$T$119,19,FALSE)</f>
        <v>#N/A</v>
      </c>
      <c r="AC35" t="e">
        <f>VLOOKUP($S$31&amp;$G35,選手情報!$B$6:$BD$119,55,FALSE)</f>
        <v>#N/A</v>
      </c>
      <c r="AE35" t="e">
        <f>VLOOKUP($S$31&amp;$M35,選手情報!$B$6:$H$119,5,FALSE)</f>
        <v>#N/A</v>
      </c>
      <c r="AF35" t="e">
        <f>VLOOKUP($S$31&amp;$M35,選手情報!$B$6:$H$119,7,FALSE)</f>
        <v>#N/A</v>
      </c>
      <c r="AG35" t="e">
        <f>VLOOKUP($S$31&amp;$M35,選手情報!$B$6:$P$119,15,FALSE)</f>
        <v>#N/A</v>
      </c>
      <c r="AH35" t="e">
        <f>VLOOKUP($S$31&amp;$M35,選手情報!$B$6:$T$119,19,FALSE)</f>
        <v>#N/A</v>
      </c>
      <c r="AI35" t="e">
        <f>VLOOKUP($S$31&amp;$M35,選手情報!$B$6:$BD$119,55,FALSE)</f>
        <v>#N/A</v>
      </c>
    </row>
    <row r="36" spans="1:36" ht="21.95" customHeight="1">
      <c r="A36" s="411"/>
      <c r="B36" s="415" t="str">
        <f>IF(学校情報!$A$4&lt;&gt;"","",IF(ISNA(S36),"",S36))</f>
        <v/>
      </c>
      <c r="C36" s="416"/>
      <c r="D36" s="34" t="str">
        <f>IF(学校情報!$A$4&lt;&gt;"","",IF(ISNA(T36),"",T36))</f>
        <v/>
      </c>
      <c r="E36" s="34" t="str">
        <f>IF(学校情報!$A$4&lt;&gt;"","",IF(ISNA(U36),"",U36))</f>
        <v/>
      </c>
      <c r="F36" s="37" t="str">
        <f>IF(学校情報!$A$4&lt;&gt;"","",IF(ISNA(V36),"",V36))</f>
        <v/>
      </c>
      <c r="G36" s="411"/>
      <c r="H36" s="415" t="str">
        <f>IF(学校情報!$A$4&lt;&gt;"","",IF(ISNA(Y36),"",Y36))</f>
        <v/>
      </c>
      <c r="I36" s="416"/>
      <c r="J36" s="34" t="str">
        <f>IF(学校情報!$A$4&lt;&gt;"","",IF(ISNA(Z36),"",Z36))</f>
        <v/>
      </c>
      <c r="K36" s="34" t="str">
        <f>IF(学校情報!$A$4&lt;&gt;"","",IF(ISNA(AA36),"",AA36))</f>
        <v/>
      </c>
      <c r="L36" s="37" t="str">
        <f>IF(学校情報!$A$4&lt;&gt;"","",IF(ISNA(AB36),"",AB36))</f>
        <v/>
      </c>
      <c r="M36" s="411"/>
      <c r="N36" s="415" t="str">
        <f>IF(学校情報!$A$4&lt;&gt;"","",IF(ISNA(AE36),"",AE36))</f>
        <v/>
      </c>
      <c r="O36" s="416"/>
      <c r="P36" s="34" t="str">
        <f>IF(学校情報!$A$4&lt;&gt;"","",IF(ISNA(AF36),"",AF36))</f>
        <v/>
      </c>
      <c r="Q36" s="34" t="str">
        <f>IF(学校情報!$A$4&lt;&gt;"","",IF(ISNA(AG36),"",AG36))</f>
        <v/>
      </c>
      <c r="R36" s="37" t="str">
        <f>IF(学校情報!$A$4&lt;&gt;"","",IF(ISNA(AH36),"",AH36))</f>
        <v/>
      </c>
      <c r="S36" t="e">
        <f ca="1">VLOOKUP($S$31&amp;$A35,OFFSET(選手情報!$B$6:$H$119,W35,0),5,FALSE)</f>
        <v>#N/A</v>
      </c>
      <c r="T36" t="e">
        <f ca="1">VLOOKUP($S$31&amp;$A35,OFFSET(選手情報!$B$6:$H$119,W35,0),7,FALSE)</f>
        <v>#N/A</v>
      </c>
      <c r="U36" t="e">
        <f ca="1">VLOOKUP($S$31&amp;$A35,OFFSET(選手情報!$B$6:$P$119,W35,0),15,FALSE)</f>
        <v>#N/A</v>
      </c>
      <c r="V36" t="e">
        <f ca="1">VLOOKUP($S$31&amp;$A35,OFFSET(選手情報!$B$6:$T$119,W35,0),19,FALSE)</f>
        <v>#N/A</v>
      </c>
      <c r="W36" t="e">
        <f ca="1">VLOOKUP($S$31&amp;$A35,OFFSET(選手情報!$B$6:$BD$119,W35,0),55,FALSE)</f>
        <v>#N/A</v>
      </c>
      <c r="Y36" t="e">
        <f ca="1">VLOOKUP($S$31&amp;$G35,OFFSET(選手情報!$B$6:$H$119,AC35,0),5,FALSE)</f>
        <v>#N/A</v>
      </c>
      <c r="Z36" t="e">
        <f ca="1">VLOOKUP($S$31&amp;$G35,OFFSET(選手情報!$B$6:$H$119,AC35,0),7,FALSE)</f>
        <v>#N/A</v>
      </c>
      <c r="AA36" t="e">
        <f ca="1">VLOOKUP($S$31&amp;$G35,OFFSET(選手情報!$B$6:$P$119,AC35,0),15,FALSE)</f>
        <v>#N/A</v>
      </c>
      <c r="AB36" t="e">
        <f ca="1">VLOOKUP($S$31&amp;$G35,OFFSET(選手情報!$B$6:$T$119,AC35,0),19,FALSE)</f>
        <v>#N/A</v>
      </c>
      <c r="AC36" t="e">
        <f ca="1">VLOOKUP($S$31&amp;$G35,OFFSET(選手情報!$B$6:$BD$119,AC35,0),55,FALSE)</f>
        <v>#N/A</v>
      </c>
      <c r="AE36" t="e">
        <f ca="1">VLOOKUP($S$31&amp;$M35,OFFSET(選手情報!$B$6:$H$119,AI35,0),5,FALSE)</f>
        <v>#N/A</v>
      </c>
      <c r="AF36" t="e">
        <f ca="1">VLOOKUP($S$31&amp;$M35,OFFSET(選手情報!$B$6:$H$119,AI35,0),7,FALSE)</f>
        <v>#N/A</v>
      </c>
      <c r="AG36" t="e">
        <f ca="1">VLOOKUP($S$31&amp;$M35,OFFSET(選手情報!$B$6:$P$119,AI35,0),15,FALSE)</f>
        <v>#N/A</v>
      </c>
      <c r="AH36" t="e">
        <f ca="1">VLOOKUP($S$31&amp;$M35,OFFSET(選手情報!$B$6:$T$119,AI35,0),19,FALSE)</f>
        <v>#N/A</v>
      </c>
      <c r="AI36" t="e">
        <f ca="1">VLOOKUP($S$31&amp;$M35,OFFSET(選手情報!$B$6:$BD$119,AI35,0),55,FALSE)</f>
        <v>#N/A</v>
      </c>
    </row>
    <row r="37" spans="1:36" ht="21.95" customHeight="1" thickBot="1">
      <c r="A37" s="412"/>
      <c r="B37" s="417" t="str">
        <f>IF(学校情報!$A$4&lt;&gt;"","",IF(ISNA(S37),"",S37))</f>
        <v/>
      </c>
      <c r="C37" s="418"/>
      <c r="D37" s="35" t="str">
        <f>IF(学校情報!$A$4&lt;&gt;"","",IF(ISNA(T37),"",T37))</f>
        <v/>
      </c>
      <c r="E37" s="35" t="str">
        <f>IF(学校情報!$A$4&lt;&gt;"","",IF(ISNA(U37),"",U37))</f>
        <v/>
      </c>
      <c r="F37" s="38" t="str">
        <f>IF(学校情報!$A$4&lt;&gt;"","",IF(ISNA(V37),"",V37))</f>
        <v/>
      </c>
      <c r="G37" s="396"/>
      <c r="H37" s="417" t="str">
        <f>IF(学校情報!$A$4&lt;&gt;"","",IF(ISNA(Y37),"",Y37))</f>
        <v/>
      </c>
      <c r="I37" s="418"/>
      <c r="J37" s="35" t="str">
        <f>IF(学校情報!$A$4&lt;&gt;"","",IF(ISNA(Z37),"",Z37))</f>
        <v/>
      </c>
      <c r="K37" s="35" t="str">
        <f>IF(学校情報!$A$4&lt;&gt;"","",IF(ISNA(AA37),"",AA37))</f>
        <v/>
      </c>
      <c r="L37" s="38" t="str">
        <f>IF(学校情報!$A$4&lt;&gt;"","",IF(ISNA(AB37),"",AB37))</f>
        <v/>
      </c>
      <c r="M37" s="396"/>
      <c r="N37" s="417" t="str">
        <f>IF(学校情報!$A$4&lt;&gt;"","",IF(ISNA(AE37),"",AE37))</f>
        <v/>
      </c>
      <c r="O37" s="418"/>
      <c r="P37" s="35" t="str">
        <f>IF(学校情報!$A$4&lt;&gt;"","",IF(ISNA(AF37),"",AF37))</f>
        <v/>
      </c>
      <c r="Q37" s="35" t="str">
        <f>IF(学校情報!$A$4&lt;&gt;"","",IF(ISNA(AG37),"",AG37))</f>
        <v/>
      </c>
      <c r="R37" s="38" t="str">
        <f>IF(学校情報!$A$4&lt;&gt;"","",IF(ISNA(AH37),"",AH37))</f>
        <v/>
      </c>
      <c r="S37" t="e">
        <f ca="1">VLOOKUP($S$31&amp;$A35,OFFSET(選手情報!$B$6:$H$119,W36,0),5,FALSE)</f>
        <v>#N/A</v>
      </c>
      <c r="T37" t="e">
        <f ca="1">VLOOKUP($S$31&amp;$A35,OFFSET(選手情報!$B$6:$H$119,W36,0),7,FALSE)</f>
        <v>#N/A</v>
      </c>
      <c r="U37" t="e">
        <f ca="1">VLOOKUP($S$31&amp;$A35,OFFSET(選手情報!$B$6:$P$119,W36,0),15,FALSE)</f>
        <v>#N/A</v>
      </c>
      <c r="V37" t="e">
        <f ca="1">VLOOKUP($S$31&amp;$A35,OFFSET(選手情報!$B$6:$T$119,W36,0),19,FALSE)</f>
        <v>#N/A</v>
      </c>
      <c r="W37" t="e">
        <f ca="1">VLOOKUP($S$31&amp;$A35,OFFSET(選手情報!$B$6:$BD$119,W36,0),55,FALSE)</f>
        <v>#N/A</v>
      </c>
      <c r="Y37" t="e">
        <f ca="1">VLOOKUP($S$31&amp;$G35,OFFSET(選手情報!$B$6:$H$119,AC36,0),5,FALSE)</f>
        <v>#N/A</v>
      </c>
      <c r="Z37" t="e">
        <f ca="1">VLOOKUP($S$31&amp;$G35,OFFSET(選手情報!$B$6:$H$119,AC36,0),7,FALSE)</f>
        <v>#N/A</v>
      </c>
      <c r="AA37" t="e">
        <f ca="1">VLOOKUP($S$31&amp;$G35,OFFSET(選手情報!$B$6:$P$119,AC36,0),15,FALSE)</f>
        <v>#N/A</v>
      </c>
      <c r="AB37" t="e">
        <f ca="1">VLOOKUP($S$31&amp;$G35,OFFSET(選手情報!$B$6:$T$119,AC36,0),19,FALSE)</f>
        <v>#N/A</v>
      </c>
      <c r="AC37" t="e">
        <f ca="1">VLOOKUP($S$31&amp;$G35,OFFSET(選手情報!$B$6:$BD$119,AC36,0),55,FALSE)</f>
        <v>#N/A</v>
      </c>
      <c r="AE37" t="e">
        <f ca="1">VLOOKUP($S$31&amp;$M35,OFFSET(選手情報!$B$6:$H$119,AI36,0),5,FALSE)</f>
        <v>#N/A</v>
      </c>
      <c r="AF37" t="e">
        <f ca="1">VLOOKUP($S$31&amp;$M35,OFFSET(選手情報!$B$6:$H$119,AI36,0),7,FALSE)</f>
        <v>#N/A</v>
      </c>
      <c r="AG37" t="e">
        <f ca="1">VLOOKUP($S$31&amp;$M35,OFFSET(選手情報!$B$6:$P$119,AI36,0),15,FALSE)</f>
        <v>#N/A</v>
      </c>
      <c r="AH37" t="e">
        <f ca="1">VLOOKUP($S$31&amp;$M35,OFFSET(選手情報!$B$6:$T$119,AI36,0),19,FALSE)</f>
        <v>#N/A</v>
      </c>
      <c r="AI37" t="e">
        <f ca="1">VLOOKUP($S$31&amp;$M35,OFFSET(選手情報!$B$6:$BD$119,AI36,0),55,FALSE)</f>
        <v>#N/A</v>
      </c>
    </row>
    <row r="38" spans="1:36" ht="21.95" customHeight="1">
      <c r="A38" s="403" t="str">
        <f>設定!K3</f>
        <v>200m</v>
      </c>
      <c r="B38" s="413" t="str">
        <f>IF(学校情報!$A$4&lt;&gt;"","",IF(ISNA(S38),"",S38))</f>
        <v/>
      </c>
      <c r="C38" s="414"/>
      <c r="D38" s="33" t="str">
        <f>IF(学校情報!$A$4&lt;&gt;"","",IF(ISNA(T38),"",T38))</f>
        <v/>
      </c>
      <c r="E38" s="33" t="str">
        <f>IF(学校情報!$A$4&lt;&gt;"","",IF(ISNA(U38),"",U38))</f>
        <v/>
      </c>
      <c r="F38" s="36" t="str">
        <f>IF(学校情報!$A$4&lt;&gt;"","",IF(ISNA(V38),"",V38))</f>
        <v/>
      </c>
      <c r="G38" s="395" t="str">
        <f>設定!K14</f>
        <v>3000mSC</v>
      </c>
      <c r="H38" s="413" t="str">
        <f>IF(学校情報!$A$4&lt;&gt;"","",IF(ISNA(Y38),"",Y38))</f>
        <v/>
      </c>
      <c r="I38" s="414"/>
      <c r="J38" s="33" t="str">
        <f>IF(学校情報!$A$4&lt;&gt;"","",IF(ISNA(Z38),"",Z38))</f>
        <v/>
      </c>
      <c r="K38" s="33" t="str">
        <f>IF(学校情報!$A$4&lt;&gt;"","",IF(ISNA(AA38),"",AA38))</f>
        <v/>
      </c>
      <c r="L38" s="36" t="str">
        <f>IF(学校情報!$A$4&lt;&gt;"","",IF(ISNA(AB38),"",AB38))</f>
        <v/>
      </c>
      <c r="M38" s="395" t="str">
        <f>設定!K20</f>
        <v>走幅跳</v>
      </c>
      <c r="N38" s="413" t="str">
        <f>IF(学校情報!$A$4&lt;&gt;"","",IF(ISNA(AE38),"",AE38))</f>
        <v/>
      </c>
      <c r="O38" s="414"/>
      <c r="P38" s="33" t="str">
        <f>IF(学校情報!$A$4&lt;&gt;"","",IF(ISNA(AF38),"",AF38))</f>
        <v/>
      </c>
      <c r="Q38" s="33" t="str">
        <f>IF(学校情報!$A$4&lt;&gt;"","",IF(ISNA(AG38),"",AG38))</f>
        <v/>
      </c>
      <c r="R38" s="36" t="str">
        <f>IF(学校情報!$A$4&lt;&gt;"","",IF(ISNA(AH38),"",AH38))</f>
        <v/>
      </c>
      <c r="S38" t="e">
        <f>VLOOKUP($S$31&amp;$A38,選手情報!$B$6:$H$119,5,FALSE)</f>
        <v>#N/A</v>
      </c>
      <c r="T38" t="e">
        <f>VLOOKUP($S$31&amp;$A38,選手情報!$B$6:$H$119,7,FALSE)</f>
        <v>#N/A</v>
      </c>
      <c r="U38" t="e">
        <f>VLOOKUP($S$31&amp;$A38,選手情報!$B$6:$P$119,15,FALSE)</f>
        <v>#N/A</v>
      </c>
      <c r="V38" t="e">
        <f>VLOOKUP($S$31&amp;$A38,選手情報!$B$6:$T$119,19,FALSE)</f>
        <v>#N/A</v>
      </c>
      <c r="W38" t="e">
        <f>VLOOKUP($S$31&amp;$A38,選手情報!$B$6:$BD$119,55,FALSE)</f>
        <v>#N/A</v>
      </c>
      <c r="Y38" t="e">
        <f>VLOOKUP($S$31&amp;$G38,選手情報!$B$6:$H$119,5,FALSE)</f>
        <v>#N/A</v>
      </c>
      <c r="Z38" t="e">
        <f>VLOOKUP($S$31&amp;$G38,選手情報!$B$6:$H$119,7,FALSE)</f>
        <v>#N/A</v>
      </c>
      <c r="AA38" t="e">
        <f>VLOOKUP($S$31&amp;$G38,選手情報!$B$6:$P$119,15,FALSE)</f>
        <v>#N/A</v>
      </c>
      <c r="AB38" t="e">
        <f>VLOOKUP($S$31&amp;$G38,選手情報!$B$6:$T$119,19,FALSE)</f>
        <v>#N/A</v>
      </c>
      <c r="AC38" t="e">
        <f>VLOOKUP($S$31&amp;$G38,選手情報!$B$6:$BD$119,55,FALSE)</f>
        <v>#N/A</v>
      </c>
      <c r="AE38" t="e">
        <f>VLOOKUP($S$31&amp;$M38,選手情報!$B$6:$H$119,5,FALSE)</f>
        <v>#N/A</v>
      </c>
      <c r="AF38" t="e">
        <f>VLOOKUP($S$31&amp;$M38,選手情報!$B$6:$H$119,7,FALSE)</f>
        <v>#N/A</v>
      </c>
      <c r="AG38" t="e">
        <f>VLOOKUP($S$31&amp;$M38,選手情報!$B$6:$P$119,15,FALSE)</f>
        <v>#N/A</v>
      </c>
      <c r="AH38" t="e">
        <f>VLOOKUP($S$31&amp;$M38,選手情報!$B$6:$T$119,19,FALSE)</f>
        <v>#N/A</v>
      </c>
      <c r="AI38" t="e">
        <f>VLOOKUP($S$31&amp;$M38,選手情報!$B$6:$BD$119,55,FALSE)</f>
        <v>#N/A</v>
      </c>
    </row>
    <row r="39" spans="1:36" ht="21.95" customHeight="1">
      <c r="A39" s="419"/>
      <c r="B39" s="415" t="str">
        <f>IF(学校情報!$A$4&lt;&gt;"","",IF(ISNA(S39),"",S39))</f>
        <v/>
      </c>
      <c r="C39" s="416"/>
      <c r="D39" s="34" t="str">
        <f>IF(学校情報!$A$4&lt;&gt;"","",IF(ISNA(T39),"",T39))</f>
        <v/>
      </c>
      <c r="E39" s="34" t="str">
        <f>IF(学校情報!$A$4&lt;&gt;"","",IF(ISNA(U39),"",U39))</f>
        <v/>
      </c>
      <c r="F39" s="37" t="str">
        <f>IF(学校情報!$A$4&lt;&gt;"","",IF(ISNA(V39),"",V39))</f>
        <v/>
      </c>
      <c r="G39" s="411"/>
      <c r="H39" s="415" t="str">
        <f>IF(学校情報!$A$4&lt;&gt;"","",IF(ISNA(Y39),"",Y39))</f>
        <v/>
      </c>
      <c r="I39" s="416"/>
      <c r="J39" s="34" t="str">
        <f>IF(学校情報!$A$4&lt;&gt;"","",IF(ISNA(Z39),"",Z39))</f>
        <v/>
      </c>
      <c r="K39" s="34" t="str">
        <f>IF(学校情報!$A$4&lt;&gt;"","",IF(ISNA(AA39),"",AA39))</f>
        <v/>
      </c>
      <c r="L39" s="37" t="str">
        <f>IF(学校情報!$A$4&lt;&gt;"","",IF(ISNA(AB39),"",AB39))</f>
        <v/>
      </c>
      <c r="M39" s="411"/>
      <c r="N39" s="415" t="str">
        <f>IF(学校情報!$A$4&lt;&gt;"","",IF(ISNA(AE39),"",AE39))</f>
        <v/>
      </c>
      <c r="O39" s="416"/>
      <c r="P39" s="34" t="str">
        <f>IF(学校情報!$A$4&lt;&gt;"","",IF(ISNA(AF39),"",AF39))</f>
        <v/>
      </c>
      <c r="Q39" s="34" t="str">
        <f>IF(学校情報!$A$4&lt;&gt;"","",IF(ISNA(AG39),"",AG39))</f>
        <v/>
      </c>
      <c r="R39" s="37" t="str">
        <f>IF(学校情報!$A$4&lt;&gt;"","",IF(ISNA(AH39),"",AH39))</f>
        <v/>
      </c>
      <c r="S39" t="e">
        <f ca="1">VLOOKUP($S$31&amp;$A38,OFFSET(選手情報!$B$6:$H$119,W38,0),5,FALSE)</f>
        <v>#N/A</v>
      </c>
      <c r="T39" t="e">
        <f ca="1">VLOOKUP($S$31&amp;$A38,OFFSET(選手情報!$B$6:$H$119,W38,0),7,FALSE)</f>
        <v>#N/A</v>
      </c>
      <c r="U39" t="e">
        <f ca="1">VLOOKUP($S$31&amp;$A38,OFFSET(選手情報!$B$6:$P$119,W38,0),15,FALSE)</f>
        <v>#N/A</v>
      </c>
      <c r="V39" t="e">
        <f ca="1">VLOOKUP($S$31&amp;$A38,OFFSET(選手情報!$B$6:$T$119,W38,0),19,FALSE)</f>
        <v>#N/A</v>
      </c>
      <c r="W39" t="e">
        <f ca="1">VLOOKUP($S$31&amp;$A38,OFFSET(選手情報!$B$6:$BD$119,W38,0),55,FALSE)</f>
        <v>#N/A</v>
      </c>
      <c r="Y39" t="e">
        <f ca="1">VLOOKUP($S$31&amp;$G38,OFFSET(選手情報!$B$6:$H$119,AC38,0),5,FALSE)</f>
        <v>#N/A</v>
      </c>
      <c r="Z39" t="e">
        <f ca="1">VLOOKUP($S$31&amp;$G38,OFFSET(選手情報!$B$6:$H$119,AC38,0),7,FALSE)</f>
        <v>#N/A</v>
      </c>
      <c r="AA39" t="e">
        <f ca="1">VLOOKUP($S$31&amp;$G38,OFFSET(選手情報!$B$6:$P$119,AC38,0),15,FALSE)</f>
        <v>#N/A</v>
      </c>
      <c r="AB39" t="e">
        <f ca="1">VLOOKUP($S$31&amp;$G38,OFFSET(選手情報!$B$6:$T$119,AC38,0),19,FALSE)</f>
        <v>#N/A</v>
      </c>
      <c r="AC39" t="e">
        <f ca="1">VLOOKUP($S$31&amp;$G38,OFFSET(選手情報!$B$6:$BD$119,AC38,0),55,FALSE)</f>
        <v>#N/A</v>
      </c>
      <c r="AE39" t="e">
        <f ca="1">VLOOKUP($S$31&amp;$M38,OFFSET(選手情報!$B$6:$H$119,AI38,0),5,FALSE)</f>
        <v>#N/A</v>
      </c>
      <c r="AF39" t="e">
        <f ca="1">VLOOKUP($S$31&amp;$M38,OFFSET(選手情報!$B$6:$H$119,AI38,0),7,FALSE)</f>
        <v>#N/A</v>
      </c>
      <c r="AG39" t="e">
        <f ca="1">VLOOKUP($S$31&amp;$M38,OFFSET(選手情報!$B$6:$P$119,AI38,0),15,FALSE)</f>
        <v>#N/A</v>
      </c>
      <c r="AH39" t="e">
        <f ca="1">VLOOKUP($S$31&amp;$M38,OFFSET(選手情報!$B$6:$T$119,AI38,0),19,FALSE)</f>
        <v>#N/A</v>
      </c>
      <c r="AI39" t="e">
        <f ca="1">VLOOKUP($S$31&amp;$M38,OFFSET(選手情報!$B$6:$BD$119,AI38,0),55,FALSE)</f>
        <v>#N/A</v>
      </c>
    </row>
    <row r="40" spans="1:36" ht="21.95" customHeight="1" thickBot="1">
      <c r="A40" s="406"/>
      <c r="B40" s="417" t="str">
        <f>IF(学校情報!$A$4&lt;&gt;"","",IF(ISNA(S40),"",S40))</f>
        <v/>
      </c>
      <c r="C40" s="418"/>
      <c r="D40" s="35" t="str">
        <f>IF(学校情報!$A$4&lt;&gt;"","",IF(ISNA(T40),"",T40))</f>
        <v/>
      </c>
      <c r="E40" s="35" t="str">
        <f>IF(学校情報!$A$4&lt;&gt;"","",IF(ISNA(U40),"",U40))</f>
        <v/>
      </c>
      <c r="F40" s="38" t="str">
        <f>IF(学校情報!$A$4&lt;&gt;"","",IF(ISNA(V40),"",V40))</f>
        <v/>
      </c>
      <c r="G40" s="396"/>
      <c r="H40" s="417" t="str">
        <f>IF(学校情報!$A$4&lt;&gt;"","",IF(ISNA(Y40),"",Y40))</f>
        <v/>
      </c>
      <c r="I40" s="418"/>
      <c r="J40" s="35" t="str">
        <f>IF(学校情報!$A$4&lt;&gt;"","",IF(ISNA(Z40),"",Z40))</f>
        <v/>
      </c>
      <c r="K40" s="35" t="str">
        <f>IF(学校情報!$A$4&lt;&gt;"","",IF(ISNA(AA40),"",AA40))</f>
        <v/>
      </c>
      <c r="L40" s="38" t="str">
        <f>IF(学校情報!$A$4&lt;&gt;"","",IF(ISNA(AB40),"",AB40))</f>
        <v/>
      </c>
      <c r="M40" s="396"/>
      <c r="N40" s="417" t="str">
        <f>IF(学校情報!$A$4&lt;&gt;"","",IF(ISNA(AE40),"",AE40))</f>
        <v/>
      </c>
      <c r="O40" s="418"/>
      <c r="P40" s="35" t="str">
        <f>IF(学校情報!$A$4&lt;&gt;"","",IF(ISNA(AF40),"",AF40))</f>
        <v/>
      </c>
      <c r="Q40" s="35" t="str">
        <f>IF(学校情報!$A$4&lt;&gt;"","",IF(ISNA(AG40),"",AG40))</f>
        <v/>
      </c>
      <c r="R40" s="38" t="str">
        <f>IF(学校情報!$A$4&lt;&gt;"","",IF(ISNA(AH40),"",AH40))</f>
        <v/>
      </c>
      <c r="S40" t="e">
        <f ca="1">VLOOKUP($S$31&amp;$A38,OFFSET(選手情報!$B$6:$H$119,W39,0),5,FALSE)</f>
        <v>#N/A</v>
      </c>
      <c r="T40" t="e">
        <f ca="1">VLOOKUP($S$31&amp;$A38,OFFSET(選手情報!$B$6:$H$119,W39,0),7,FALSE)</f>
        <v>#N/A</v>
      </c>
      <c r="U40" t="e">
        <f ca="1">VLOOKUP($S$31&amp;$A38,OFFSET(選手情報!$B$6:$P$119,W39,0),15,FALSE)</f>
        <v>#N/A</v>
      </c>
      <c r="V40" t="e">
        <f ca="1">VLOOKUP($S$31&amp;$A38,OFFSET(選手情報!$B$6:$T$119,W39,0),19,FALSE)</f>
        <v>#N/A</v>
      </c>
      <c r="W40" t="e">
        <f ca="1">VLOOKUP($S$31&amp;$A38,OFFSET(選手情報!$B$6:$BD$119,W39,0),55,FALSE)</f>
        <v>#N/A</v>
      </c>
      <c r="Y40" t="e">
        <f ca="1">VLOOKUP($S$31&amp;$G38,OFFSET(選手情報!$B$6:$H$119,AC39,0),5,FALSE)</f>
        <v>#N/A</v>
      </c>
      <c r="Z40" t="e">
        <f ca="1">VLOOKUP($S$31&amp;$G38,OFFSET(選手情報!$B$6:$H$119,AC39,0),7,FALSE)</f>
        <v>#N/A</v>
      </c>
      <c r="AA40" t="e">
        <f ca="1">VLOOKUP($S$31&amp;$G38,OFFSET(選手情報!$B$6:$P$119,AC39,0),15,FALSE)</f>
        <v>#N/A</v>
      </c>
      <c r="AB40" t="e">
        <f ca="1">VLOOKUP($S$31&amp;$G38,OFFSET(選手情報!$B$6:$T$119,AC39,0),19,FALSE)</f>
        <v>#N/A</v>
      </c>
      <c r="AC40" t="e">
        <f ca="1">VLOOKUP($S$31&amp;$G38,OFFSET(選手情報!$B$6:$BD$119,AC39,0),55,FALSE)</f>
        <v>#N/A</v>
      </c>
      <c r="AE40" t="e">
        <f ca="1">VLOOKUP($S$31&amp;$M38,OFFSET(選手情報!$B$6:$H$119,AI39,0),5,FALSE)</f>
        <v>#N/A</v>
      </c>
      <c r="AF40" t="e">
        <f ca="1">VLOOKUP($S$31&amp;$M38,OFFSET(選手情報!$B$6:$H$119,AI39,0),7,FALSE)</f>
        <v>#N/A</v>
      </c>
      <c r="AG40" t="e">
        <f ca="1">VLOOKUP($S$31&amp;$M38,OFFSET(選手情報!$B$6:$P$119,AI39,0),15,FALSE)</f>
        <v>#N/A</v>
      </c>
      <c r="AH40" t="e">
        <f ca="1">VLOOKUP($S$31&amp;$M38,OFFSET(選手情報!$B$6:$T$119,AI39,0),19,FALSE)</f>
        <v>#N/A</v>
      </c>
      <c r="AI40" t="e">
        <f ca="1">VLOOKUP($S$31&amp;$M38,OFFSET(選手情報!$B$6:$BD$119,AI39,0),55,FALSE)</f>
        <v>#N/A</v>
      </c>
    </row>
    <row r="41" spans="1:36" ht="21.95" customHeight="1">
      <c r="A41" s="395" t="str">
        <f>設定!K4</f>
        <v>400m</v>
      </c>
      <c r="B41" s="413" t="str">
        <f>IF(学校情報!$A$4&lt;&gt;"","",IF(ISNA(S41),"",S41))</f>
        <v/>
      </c>
      <c r="C41" s="414"/>
      <c r="D41" s="33" t="str">
        <f>IF(学校情報!$A$4&lt;&gt;"","",IF(ISNA(T41),"",T41))</f>
        <v/>
      </c>
      <c r="E41" s="33" t="str">
        <f>IF(学校情報!$A$4&lt;&gt;"","",IF(ISNA(U41),"",U41))</f>
        <v/>
      </c>
      <c r="F41" s="36" t="str">
        <f>IF(学校情報!$A$4&lt;&gt;"","",IF(ISNA(V41),"",V41))</f>
        <v/>
      </c>
      <c r="G41" s="395" t="str">
        <f>設定!K15</f>
        <v>10000mW</v>
      </c>
      <c r="H41" s="413" t="str">
        <f>IF(学校情報!$A$4&lt;&gt;"","",IF(ISNA(Y41),"",Y41))</f>
        <v/>
      </c>
      <c r="I41" s="414"/>
      <c r="J41" s="33" t="str">
        <f>IF(学校情報!$A$4&lt;&gt;"","",IF(ISNA(Z41),"",Z41))</f>
        <v/>
      </c>
      <c r="K41" s="33" t="str">
        <f>IF(学校情報!$A$4&lt;&gt;"","",IF(ISNA(AA41),"",AA41))</f>
        <v/>
      </c>
      <c r="L41" s="36" t="str">
        <f>IF(学校情報!$A$4&lt;&gt;"","",IF(ISNA(AB41),"",AB41))</f>
        <v/>
      </c>
      <c r="M41" s="403" t="str">
        <f>設定!K21</f>
        <v>三段跳</v>
      </c>
      <c r="N41" s="413" t="str">
        <f>IF(学校情報!$A$4&lt;&gt;"","",IF(ISNA(AE41),"",AE41))</f>
        <v/>
      </c>
      <c r="O41" s="414"/>
      <c r="P41" s="33" t="str">
        <f>IF(学校情報!$A$4&lt;&gt;"","",IF(ISNA(AF41),"",AF41))</f>
        <v/>
      </c>
      <c r="Q41" s="33" t="str">
        <f>IF(学校情報!$A$4&lt;&gt;"","",IF(ISNA(AG41),"",AG41))</f>
        <v/>
      </c>
      <c r="R41" s="36" t="str">
        <f>IF(学校情報!$A$4&lt;&gt;"","",IF(ISNA(AH41),"",AH41))</f>
        <v/>
      </c>
      <c r="S41" t="e">
        <f>VLOOKUP($S$31&amp;$A41,選手情報!$B$6:$H$119,5,FALSE)</f>
        <v>#N/A</v>
      </c>
      <c r="T41" t="e">
        <f>VLOOKUP($S$31&amp;$A41,選手情報!$B$6:$H$119,7,FALSE)</f>
        <v>#N/A</v>
      </c>
      <c r="U41" t="e">
        <f>VLOOKUP($S$31&amp;$A41,選手情報!$B$6:$P$119,15,FALSE)</f>
        <v>#N/A</v>
      </c>
      <c r="V41" t="e">
        <f>VLOOKUP($S$31&amp;$A41,選手情報!$B$6:$T$119,19,FALSE)</f>
        <v>#N/A</v>
      </c>
      <c r="W41" t="e">
        <f>VLOOKUP($S$31&amp;$A41,選手情報!$B$6:$BD$119,55,FALSE)</f>
        <v>#N/A</v>
      </c>
      <c r="Y41" t="e">
        <f>VLOOKUP($S$31&amp;$G41,選手情報!$B$6:$H$119,5,FALSE)</f>
        <v>#N/A</v>
      </c>
      <c r="Z41" t="e">
        <f>VLOOKUP($S$31&amp;$G41,選手情報!$B$6:$H$119,7,FALSE)</f>
        <v>#N/A</v>
      </c>
      <c r="AA41" t="e">
        <f>VLOOKUP($S$31&amp;$G41,選手情報!$B$6:$P$119,15,FALSE)</f>
        <v>#N/A</v>
      </c>
      <c r="AB41" t="e">
        <f>VLOOKUP($S$31&amp;$G41,選手情報!$B$6:$T$119,19,FALSE)</f>
        <v>#N/A</v>
      </c>
      <c r="AC41" t="e">
        <f>VLOOKUP($S$31&amp;$G41,選手情報!$B$6:$BD$119,55,FALSE)</f>
        <v>#N/A</v>
      </c>
      <c r="AE41" t="e">
        <f>VLOOKUP($S$31&amp;$M41,選手情報!$B$6:$H$119,5,FALSE)</f>
        <v>#N/A</v>
      </c>
      <c r="AF41" t="e">
        <f>VLOOKUP($S$31&amp;$M41,選手情報!$B$6:$H$119,7,FALSE)</f>
        <v>#N/A</v>
      </c>
      <c r="AG41" t="e">
        <f>VLOOKUP($S$31&amp;$M41,選手情報!$B$6:$P$119,15,FALSE)</f>
        <v>#N/A</v>
      </c>
      <c r="AH41" t="e">
        <f>VLOOKUP($S$31&amp;$M41,選手情報!$B$6:$T$119,19,FALSE)</f>
        <v>#N/A</v>
      </c>
      <c r="AI41" t="e">
        <f>VLOOKUP($S$31&amp;$M41,選手情報!$B$6:$BD$119,55,FALSE)</f>
        <v>#N/A</v>
      </c>
    </row>
    <row r="42" spans="1:36" ht="21.95" customHeight="1">
      <c r="A42" s="411"/>
      <c r="B42" s="415" t="str">
        <f>IF(学校情報!$A$4&lt;&gt;"","",IF(ISNA(S42),"",S42))</f>
        <v/>
      </c>
      <c r="C42" s="416"/>
      <c r="D42" s="34" t="str">
        <f>IF(学校情報!$A$4&lt;&gt;"","",IF(ISNA(T42),"",T42))</f>
        <v/>
      </c>
      <c r="E42" s="34" t="str">
        <f>IF(学校情報!$A$4&lt;&gt;"","",IF(ISNA(U42),"",U42))</f>
        <v/>
      </c>
      <c r="F42" s="37" t="str">
        <f>IF(学校情報!$A$4&lt;&gt;"","",IF(ISNA(V42),"",V42))</f>
        <v/>
      </c>
      <c r="G42" s="411"/>
      <c r="H42" s="415" t="str">
        <f>IF(学校情報!$A$4&lt;&gt;"","",IF(ISNA(Y42),"",Y42))</f>
        <v/>
      </c>
      <c r="I42" s="416"/>
      <c r="J42" s="34" t="str">
        <f>IF(学校情報!$A$4&lt;&gt;"","",IF(ISNA(Z42),"",Z42))</f>
        <v/>
      </c>
      <c r="K42" s="34" t="str">
        <f>IF(学校情報!$A$4&lt;&gt;"","",IF(ISNA(AA42),"",AA42))</f>
        <v/>
      </c>
      <c r="L42" s="37" t="str">
        <f>IF(学校情報!$A$4&lt;&gt;"","",IF(ISNA(AB42),"",AB42))</f>
        <v/>
      </c>
      <c r="M42" s="419"/>
      <c r="N42" s="415" t="str">
        <f>IF(学校情報!$A$4&lt;&gt;"","",IF(ISNA(AE42),"",AE42))</f>
        <v/>
      </c>
      <c r="O42" s="416"/>
      <c r="P42" s="34" t="str">
        <f>IF(学校情報!$A$4&lt;&gt;"","",IF(ISNA(AF42),"",AF42))</f>
        <v/>
      </c>
      <c r="Q42" s="34" t="str">
        <f>IF(学校情報!$A$4&lt;&gt;"","",IF(ISNA(AG42),"",AG42))</f>
        <v/>
      </c>
      <c r="R42" s="37" t="str">
        <f>IF(学校情報!$A$4&lt;&gt;"","",IF(ISNA(AH42),"",AH42))</f>
        <v/>
      </c>
      <c r="S42" t="e">
        <f ca="1">VLOOKUP($S$31&amp;$A41,OFFSET(選手情報!$B$6:$H$119,W41,0),5,FALSE)</f>
        <v>#N/A</v>
      </c>
      <c r="T42" t="e">
        <f ca="1">VLOOKUP($S$31&amp;$A41,OFFSET(選手情報!$B$6:$H$119,W41,0),7,FALSE)</f>
        <v>#N/A</v>
      </c>
      <c r="U42" t="e">
        <f ca="1">VLOOKUP($S$31&amp;$A41,OFFSET(選手情報!$B$6:$P$119,W41,0),15,FALSE)</f>
        <v>#N/A</v>
      </c>
      <c r="V42" t="e">
        <f ca="1">VLOOKUP($S$31&amp;$A41,OFFSET(選手情報!$B$6:$T$119,W41,0),19,FALSE)</f>
        <v>#N/A</v>
      </c>
      <c r="W42" t="e">
        <f ca="1">VLOOKUP($S$31&amp;$A41,OFFSET(選手情報!$B$6:$BD$119,W41,0),55,FALSE)</f>
        <v>#N/A</v>
      </c>
      <c r="Y42" t="e">
        <f ca="1">VLOOKUP($S$31&amp;$G41,OFFSET(選手情報!$B$6:$H$119,AC41,0),5,FALSE)</f>
        <v>#N/A</v>
      </c>
      <c r="Z42" t="e">
        <f ca="1">VLOOKUP($S$31&amp;$G41,OFFSET(選手情報!$B$6:$H$119,AC41,0),7,FALSE)</f>
        <v>#N/A</v>
      </c>
      <c r="AA42" t="e">
        <f ca="1">VLOOKUP($S$31&amp;$G41,OFFSET(選手情報!$B$6:$P$119,AC41,0),15,FALSE)</f>
        <v>#N/A</v>
      </c>
      <c r="AB42" t="e">
        <f ca="1">VLOOKUP($S$31&amp;$G41,OFFSET(選手情報!$B$6:$T$119,AC41,0),19,FALSE)</f>
        <v>#N/A</v>
      </c>
      <c r="AC42" t="e">
        <f ca="1">VLOOKUP($S$31&amp;$G41,OFFSET(選手情報!$B$6:$BD$119,AC41,0),55,FALSE)</f>
        <v>#N/A</v>
      </c>
      <c r="AE42" t="e">
        <f ca="1">VLOOKUP($S$31&amp;$M41,OFFSET(選手情報!$B$6:$H$119,AI41,0),5,FALSE)</f>
        <v>#N/A</v>
      </c>
      <c r="AF42" t="e">
        <f ca="1">VLOOKUP($S$31&amp;$M41,OFFSET(選手情報!$B$6:$H$119,AI41,0),7,FALSE)</f>
        <v>#N/A</v>
      </c>
      <c r="AG42" t="e">
        <f ca="1">VLOOKUP($S$31&amp;$M41,OFFSET(選手情報!$B$6:$P$119,AI41,0),15,FALSE)</f>
        <v>#N/A</v>
      </c>
      <c r="AH42" t="e">
        <f ca="1">VLOOKUP($S$31&amp;$M41,OFFSET(選手情報!$B$6:$T$119,AI41,0),19,FALSE)</f>
        <v>#N/A</v>
      </c>
      <c r="AI42" t="e">
        <f ca="1">VLOOKUP($S$31&amp;$M41,OFFSET(選手情報!$B$6:$BD$119,AI41,0),55,FALSE)</f>
        <v>#N/A</v>
      </c>
    </row>
    <row r="43" spans="1:36" ht="21.95" customHeight="1" thickBot="1">
      <c r="A43" s="396"/>
      <c r="B43" s="417" t="str">
        <f>IF(学校情報!$A$4&lt;&gt;"","",IF(ISNA(S43),"",S43))</f>
        <v/>
      </c>
      <c r="C43" s="418"/>
      <c r="D43" s="35" t="str">
        <f>IF(学校情報!$A$4&lt;&gt;"","",IF(ISNA(T43),"",T43))</f>
        <v/>
      </c>
      <c r="E43" s="35" t="str">
        <f>IF(学校情報!$A$4&lt;&gt;"","",IF(ISNA(U43),"",U43))</f>
        <v/>
      </c>
      <c r="F43" s="38" t="str">
        <f>IF(学校情報!$A$4&lt;&gt;"","",IF(ISNA(V43),"",V43))</f>
        <v/>
      </c>
      <c r="G43" s="396"/>
      <c r="H43" s="417" t="str">
        <f>IF(学校情報!$A$4&lt;&gt;"","",IF(ISNA(Y43),"",Y43))</f>
        <v/>
      </c>
      <c r="I43" s="418"/>
      <c r="J43" s="35" t="str">
        <f>IF(学校情報!$A$4&lt;&gt;"","",IF(ISNA(Z43),"",Z43))</f>
        <v/>
      </c>
      <c r="K43" s="35" t="str">
        <f>IF(学校情報!$A$4&lt;&gt;"","",IF(ISNA(AA43),"",AA43))</f>
        <v/>
      </c>
      <c r="L43" s="38" t="str">
        <f>IF(学校情報!$A$4&lt;&gt;"","",IF(ISNA(AB43),"",AB43))</f>
        <v/>
      </c>
      <c r="M43" s="406"/>
      <c r="N43" s="417" t="str">
        <f>IF(学校情報!$A$4&lt;&gt;"","",IF(ISNA(AE43),"",AE43))</f>
        <v/>
      </c>
      <c r="O43" s="418"/>
      <c r="P43" s="35" t="str">
        <f>IF(学校情報!$A$4&lt;&gt;"","",IF(ISNA(AF43),"",AF43))</f>
        <v/>
      </c>
      <c r="Q43" s="35" t="str">
        <f>IF(学校情報!$A$4&lt;&gt;"","",IF(ISNA(AG43),"",AG43))</f>
        <v/>
      </c>
      <c r="R43" s="38" t="str">
        <f>IF(学校情報!$A$4&lt;&gt;"","",IF(ISNA(AH43),"",AH43))</f>
        <v/>
      </c>
      <c r="S43" t="e">
        <f ca="1">VLOOKUP($S$31&amp;$A41,OFFSET(選手情報!$B$6:$H$119,W42,0),5,FALSE)</f>
        <v>#N/A</v>
      </c>
      <c r="T43" t="e">
        <f ca="1">VLOOKUP($S$31&amp;$A41,OFFSET(選手情報!$B$6:$H$119,W42,0),7,FALSE)</f>
        <v>#N/A</v>
      </c>
      <c r="U43" t="e">
        <f ca="1">VLOOKUP($S$31&amp;$A41,OFFSET(選手情報!$B$6:$P$119,W42,0),15,FALSE)</f>
        <v>#N/A</v>
      </c>
      <c r="V43" t="e">
        <f ca="1">VLOOKUP($S$31&amp;$A41,OFFSET(選手情報!$B$6:$T$119,W42,0),19,FALSE)</f>
        <v>#N/A</v>
      </c>
      <c r="W43" t="e">
        <f ca="1">VLOOKUP($S$31&amp;$A41,OFFSET(選手情報!$B$6:$BD$119,W42,0),55,FALSE)</f>
        <v>#N/A</v>
      </c>
      <c r="Y43" t="e">
        <f ca="1">VLOOKUP($S$31&amp;$G41,OFFSET(選手情報!$B$6:$H$119,AC42,0),5,FALSE)</f>
        <v>#N/A</v>
      </c>
      <c r="Z43" t="e">
        <f ca="1">VLOOKUP($S$31&amp;$G41,OFFSET(選手情報!$B$6:$H$119,AC42,0),7,FALSE)</f>
        <v>#N/A</v>
      </c>
      <c r="AA43" t="e">
        <f ca="1">VLOOKUP($S$31&amp;$G41,OFFSET(選手情報!$B$6:$P$119,AC42,0),15,FALSE)</f>
        <v>#N/A</v>
      </c>
      <c r="AB43" t="e">
        <f ca="1">VLOOKUP($S$31&amp;$G41,OFFSET(選手情報!$B$6:$T$119,AC42,0),19,FALSE)</f>
        <v>#N/A</v>
      </c>
      <c r="AC43" t="e">
        <f ca="1">VLOOKUP($S$31&amp;$G41,OFFSET(選手情報!$B$6:$BD$119,AC42,0),55,FALSE)</f>
        <v>#N/A</v>
      </c>
      <c r="AE43" t="e">
        <f ca="1">VLOOKUP($S$31&amp;$M41,OFFSET(選手情報!$B$6:$H$119,AI42,0),5,FALSE)</f>
        <v>#N/A</v>
      </c>
      <c r="AF43" t="e">
        <f ca="1">VLOOKUP($S$31&amp;$M41,OFFSET(選手情報!$B$6:$H$119,AI42,0),7,FALSE)</f>
        <v>#N/A</v>
      </c>
      <c r="AG43" t="e">
        <f ca="1">VLOOKUP($S$31&amp;$M41,OFFSET(選手情報!$B$6:$P$119,AI42,0),15,FALSE)</f>
        <v>#N/A</v>
      </c>
      <c r="AH43" t="e">
        <f ca="1">VLOOKUP($S$31&amp;$M41,OFFSET(選手情報!$B$6:$T$119,AI42,0),19,FALSE)</f>
        <v>#N/A</v>
      </c>
      <c r="AI43" t="e">
        <f ca="1">VLOOKUP($S$31&amp;$M41,OFFSET(選手情報!$B$6:$BD$119,AI42,0),55,FALSE)</f>
        <v>#N/A</v>
      </c>
    </row>
    <row r="44" spans="1:36" ht="21.95" customHeight="1">
      <c r="A44" s="395" t="str">
        <f>設定!K5</f>
        <v>800m</v>
      </c>
      <c r="B44" s="413" t="str">
        <f>IF(学校情報!$A$4&lt;&gt;"","",IF(ISNA(S44),"",S44))</f>
        <v/>
      </c>
      <c r="C44" s="414"/>
      <c r="D44" s="33" t="str">
        <f>IF(学校情報!$A$4&lt;&gt;"","",IF(ISNA(T44),"",T44))</f>
        <v/>
      </c>
      <c r="E44" s="33" t="str">
        <f>IF(学校情報!$A$4&lt;&gt;"","",IF(ISNA(U44),"",U44))</f>
        <v/>
      </c>
      <c r="F44" s="36" t="str">
        <f>IF(学校情報!$A$4&lt;&gt;"","",IF(ISNA(V44),"",V44))</f>
        <v/>
      </c>
      <c r="G44" s="403" t="s">
        <v>149</v>
      </c>
      <c r="H44" s="413" t="str">
        <f>IF(学校情報!$A$4&lt;&gt;"","",IF(ISNA(VLOOKUP(AJ44,リレーチーム情報!$A$17:$S$22,9,FALSE)),"",VLOOKUP(AJ44,リレーチーム情報!$A$17:$S$22,9,FALSE)))</f>
        <v/>
      </c>
      <c r="I44" s="414"/>
      <c r="J44" s="33" t="str">
        <f>IF(学校情報!$A$4&lt;&gt;"","",IF(ISNA(VLOOKUP(AJ44,リレーチーム情報!$A$17:$S$22,10,FALSE)),"",VLOOKUP(AJ44,リレーチーム情報!$A$17:$S$22,10,FALSE)))</f>
        <v/>
      </c>
      <c r="K44" s="405" t="str">
        <f>IF(学校情報!$A$4&lt;&gt;"","",IF(AND(リレーチーム情報!T17="〇",リレーチーム情報!Q17&lt;&gt;""),リレーチーム情報!Q17,""))</f>
        <v/>
      </c>
      <c r="L44" s="421" t="str">
        <f>IF(学校情報!$A$4&lt;&gt;"","",IF(K44&lt;&gt;"",リレーチーム情報!S17,""))</f>
        <v/>
      </c>
      <c r="M44" s="403" t="str">
        <f>設定!K22</f>
        <v>砲丸投</v>
      </c>
      <c r="N44" s="413" t="str">
        <f>IF(学校情報!$A$4&lt;&gt;"","",IF(ISNA(AE44),"",AE44))</f>
        <v/>
      </c>
      <c r="O44" s="414"/>
      <c r="P44" s="33" t="str">
        <f>IF(学校情報!$A$4&lt;&gt;"","",IF(ISNA(AF44),"",AF44))</f>
        <v/>
      </c>
      <c r="Q44" s="33" t="str">
        <f>IF(学校情報!$A$4&lt;&gt;"","",IF(ISNA(AG44),"",AG44))</f>
        <v/>
      </c>
      <c r="R44" s="36" t="str">
        <f>IF(学校情報!$A$4&lt;&gt;"","",IF(ISNA(AH44),"",AH44))</f>
        <v/>
      </c>
      <c r="S44" t="e">
        <f>VLOOKUP($S$31&amp;$A44,選手情報!$B$6:$H$119,5,FALSE)</f>
        <v>#N/A</v>
      </c>
      <c r="T44" t="e">
        <f>VLOOKUP($S$31&amp;$A44,選手情報!$B$6:$H$119,7,FALSE)</f>
        <v>#N/A</v>
      </c>
      <c r="U44" t="e">
        <f>VLOOKUP($S$31&amp;$A44,選手情報!$B$6:$P$119,15,FALSE)</f>
        <v>#N/A</v>
      </c>
      <c r="V44" t="e">
        <f>VLOOKUP($S$31&amp;$A44,選手情報!$B$6:$T$119,19,FALSE)</f>
        <v>#N/A</v>
      </c>
      <c r="W44" t="e">
        <f>VLOOKUP($S$31&amp;$A44,選手情報!$B$6:$BD$119,55,FALSE)</f>
        <v>#N/A</v>
      </c>
      <c r="AE44" t="e">
        <f>VLOOKUP($S$31&amp;$M44,選手情報!$B$6:$H$119,5,FALSE)</f>
        <v>#N/A</v>
      </c>
      <c r="AF44" t="e">
        <f>VLOOKUP($S$31&amp;$M44,選手情報!$B$6:$H$119,7,FALSE)</f>
        <v>#N/A</v>
      </c>
      <c r="AG44" t="e">
        <f>VLOOKUP($S$31&amp;$M44,選手情報!$B$6:$P$119,15,FALSE)</f>
        <v>#N/A</v>
      </c>
      <c r="AH44" t="e">
        <f>VLOOKUP($S$31&amp;$M44,選手情報!$B$6:$T$119,19,FALSE)</f>
        <v>#N/A</v>
      </c>
      <c r="AI44" t="e">
        <f>VLOOKUP($S$31&amp;$M44,選手情報!$B$6:$BD$119,55,FALSE)</f>
        <v>#N/A</v>
      </c>
      <c r="AJ44">
        <v>1</v>
      </c>
    </row>
    <row r="45" spans="1:36" ht="21.95" customHeight="1">
      <c r="A45" s="411"/>
      <c r="B45" s="415" t="str">
        <f>IF(学校情報!$A$4&lt;&gt;"","",IF(ISNA(S45),"",S45))</f>
        <v/>
      </c>
      <c r="C45" s="416"/>
      <c r="D45" s="34" t="str">
        <f>IF(学校情報!$A$4&lt;&gt;"","",IF(ISNA(T45),"",T45))</f>
        <v/>
      </c>
      <c r="E45" s="34" t="str">
        <f>IF(学校情報!$A$4&lt;&gt;"","",IF(ISNA(U45),"",U45))</f>
        <v/>
      </c>
      <c r="F45" s="37" t="str">
        <f>IF(学校情報!$A$4&lt;&gt;"","",IF(ISNA(V45),"",V45))</f>
        <v/>
      </c>
      <c r="G45" s="419"/>
      <c r="H45" s="415" t="str">
        <f>IF(学校情報!$A$4&lt;&gt;"","",IF(ISNA(VLOOKUP(AJ45,リレーチーム情報!$A$17:$S$22,9,FALSE)),"",VLOOKUP(AJ45,リレーチーム情報!$A$17:$S$22,9,FALSE)))</f>
        <v/>
      </c>
      <c r="I45" s="416"/>
      <c r="J45" s="34" t="str">
        <f>IF(学校情報!$A$4&lt;&gt;"","",IF(ISNA(VLOOKUP(AJ45,リレーチーム情報!$A$17:$S$22,10,FALSE)),"",VLOOKUP(AJ45,リレーチーム情報!$A$17:$S$22,10,FALSE)))</f>
        <v/>
      </c>
      <c r="K45" s="420"/>
      <c r="L45" s="422"/>
      <c r="M45" s="419"/>
      <c r="N45" s="415" t="str">
        <f>IF(学校情報!$A$4&lt;&gt;"","",IF(ISNA(AE45),"",AE45))</f>
        <v/>
      </c>
      <c r="O45" s="416"/>
      <c r="P45" s="34" t="str">
        <f>IF(学校情報!$A$4&lt;&gt;"","",IF(ISNA(AF45),"",AF45))</f>
        <v/>
      </c>
      <c r="Q45" s="34" t="str">
        <f>IF(学校情報!$A$4&lt;&gt;"","",IF(ISNA(AG45),"",AG45))</f>
        <v/>
      </c>
      <c r="R45" s="37" t="str">
        <f>IF(学校情報!$A$4&lt;&gt;"","",IF(ISNA(AH45),"",AH45))</f>
        <v/>
      </c>
      <c r="S45" t="e">
        <f ca="1">VLOOKUP($S$31&amp;$A44,OFFSET(選手情報!$B$6:$H$119,W44,0),5,FALSE)</f>
        <v>#N/A</v>
      </c>
      <c r="T45" t="e">
        <f ca="1">VLOOKUP($S$31&amp;$A44,OFFSET(選手情報!$B$6:$H$119,W44,0),7,FALSE)</f>
        <v>#N/A</v>
      </c>
      <c r="U45" t="e">
        <f ca="1">VLOOKUP($S$31&amp;$A44,OFFSET(選手情報!$B$6:$P$119,W44,0),15,FALSE)</f>
        <v>#N/A</v>
      </c>
      <c r="V45" t="e">
        <f ca="1">VLOOKUP($S$31&amp;$A44,OFFSET(選手情報!$B$6:$T$119,W44,0),19,FALSE)</f>
        <v>#N/A</v>
      </c>
      <c r="W45" t="e">
        <f ca="1">VLOOKUP($S$31&amp;$A44,OFFSET(選手情報!$B$6:$BD$119,W44,0),55,FALSE)</f>
        <v>#N/A</v>
      </c>
      <c r="AE45" t="e">
        <f ca="1">VLOOKUP($S$31&amp;$M44,OFFSET(選手情報!$B$6:$H$119,AI44,0),5,FALSE)</f>
        <v>#N/A</v>
      </c>
      <c r="AF45" t="e">
        <f ca="1">VLOOKUP($S$31&amp;$M44,OFFSET(選手情報!$B$6:$H$119,AI44,0),7,FALSE)</f>
        <v>#N/A</v>
      </c>
      <c r="AG45" t="e">
        <f ca="1">VLOOKUP($S$31&amp;$M44,OFFSET(選手情報!$B$6:$P$119,AI44,0),15,FALSE)</f>
        <v>#N/A</v>
      </c>
      <c r="AH45" t="e">
        <f ca="1">VLOOKUP($S$31&amp;$M44,OFFSET(選手情報!$B$6:$T$119,AI44,0),19,FALSE)</f>
        <v>#N/A</v>
      </c>
      <c r="AI45" t="e">
        <f ca="1">VLOOKUP($S$31&amp;$M44,OFFSET(選手情報!$B$6:$BD$119,AI44,0),55,FALSE)</f>
        <v>#N/A</v>
      </c>
      <c r="AJ45">
        <v>2</v>
      </c>
    </row>
    <row r="46" spans="1:36" ht="21.95" customHeight="1" thickBot="1">
      <c r="A46" s="396"/>
      <c r="B46" s="417" t="str">
        <f>IF(学校情報!$A$4&lt;&gt;"","",IF(ISNA(S46),"",S46))</f>
        <v/>
      </c>
      <c r="C46" s="418"/>
      <c r="D46" s="35" t="str">
        <f>IF(学校情報!$A$4&lt;&gt;"","",IF(ISNA(T46),"",T46))</f>
        <v/>
      </c>
      <c r="E46" s="35" t="str">
        <f>IF(学校情報!$A$4&lt;&gt;"","",IF(ISNA(U46),"",U46))</f>
        <v/>
      </c>
      <c r="F46" s="38" t="str">
        <f>IF(学校情報!$A$4&lt;&gt;"","",IF(ISNA(V46),"",V46))</f>
        <v/>
      </c>
      <c r="G46" s="419"/>
      <c r="H46" s="415" t="str">
        <f>IF(学校情報!$A$4&lt;&gt;"","",IF(ISNA(VLOOKUP(AJ46,リレーチーム情報!$A$17:$S$22,9,FALSE)),"",VLOOKUP(AJ46,リレーチーム情報!$A$17:$S$22,9,FALSE)))</f>
        <v/>
      </c>
      <c r="I46" s="416"/>
      <c r="J46" s="34" t="str">
        <f>IF(学校情報!$A$4&lt;&gt;"","",IF(ISNA(VLOOKUP(AJ46,リレーチーム情報!$A$17:$S$22,10,FALSE)),"",VLOOKUP(AJ46,リレーチーム情報!$A$17:$S$22,10,FALSE)))</f>
        <v/>
      </c>
      <c r="K46" s="420"/>
      <c r="L46" s="422"/>
      <c r="M46" s="406"/>
      <c r="N46" s="417" t="str">
        <f>IF(学校情報!$A$4&lt;&gt;"","",IF(ISNA(AE46),"",AE46))</f>
        <v/>
      </c>
      <c r="O46" s="418"/>
      <c r="P46" s="35" t="str">
        <f>IF(学校情報!$A$4&lt;&gt;"","",IF(ISNA(AF46),"",AF46))</f>
        <v/>
      </c>
      <c r="Q46" s="35" t="str">
        <f>IF(学校情報!$A$4&lt;&gt;"","",IF(ISNA(AG46),"",AG46))</f>
        <v/>
      </c>
      <c r="R46" s="38" t="str">
        <f>IF(学校情報!$A$4&lt;&gt;"","",IF(ISNA(AH46),"",AH46))</f>
        <v/>
      </c>
      <c r="S46" t="e">
        <f ca="1">VLOOKUP($S$31&amp;$A44,OFFSET(選手情報!$B$6:$H$119,W45,0),5,FALSE)</f>
        <v>#N/A</v>
      </c>
      <c r="T46" t="e">
        <f ca="1">VLOOKUP($S$31&amp;$A44,OFFSET(選手情報!$B$6:$H$119,W45,0),7,FALSE)</f>
        <v>#N/A</v>
      </c>
      <c r="U46" t="e">
        <f ca="1">VLOOKUP($S$31&amp;$A44,OFFSET(選手情報!$B$6:$P$119,W45,0),15,FALSE)</f>
        <v>#N/A</v>
      </c>
      <c r="V46" t="e">
        <f ca="1">VLOOKUP($S$31&amp;$A44,OFFSET(選手情報!$B$6:$T$119,W45,0),19,FALSE)</f>
        <v>#N/A</v>
      </c>
      <c r="W46" t="e">
        <f ca="1">VLOOKUP($S$31&amp;$A44,OFFSET(選手情報!$B$6:$BD$119,W45,0),55,FALSE)</f>
        <v>#N/A</v>
      </c>
      <c r="AE46" t="e">
        <f ca="1">VLOOKUP($S$31&amp;$M44,OFFSET(選手情報!$B$6:$H$119,AI45,0),5,FALSE)</f>
        <v>#N/A</v>
      </c>
      <c r="AF46" t="e">
        <f ca="1">VLOOKUP($S$31&amp;$M44,OFFSET(選手情報!$B$6:$H$119,AI45,0),7,FALSE)</f>
        <v>#N/A</v>
      </c>
      <c r="AG46" t="e">
        <f ca="1">VLOOKUP($S$31&amp;$M44,OFFSET(選手情報!$B$6:$P$119,AI45,0),15,FALSE)</f>
        <v>#N/A</v>
      </c>
      <c r="AH46" t="e">
        <f ca="1">VLOOKUP($S$31&amp;$M44,OFFSET(選手情報!$B$6:$T$119,AI45,0),19,FALSE)</f>
        <v>#N/A</v>
      </c>
      <c r="AI46" t="e">
        <f ca="1">VLOOKUP($S$31&amp;$M44,OFFSET(選手情報!$B$6:$BD$119,AI45,0),55,FALSE)</f>
        <v>#N/A</v>
      </c>
      <c r="AJ46">
        <v>3</v>
      </c>
    </row>
    <row r="47" spans="1:36" ht="21.95" customHeight="1">
      <c r="A47" s="395" t="str">
        <f>設定!K6</f>
        <v>1500m</v>
      </c>
      <c r="B47" s="413" t="str">
        <f>IF(学校情報!$A$4&lt;&gt;"","",IF(ISNA(S47),"",S47))</f>
        <v/>
      </c>
      <c r="C47" s="414"/>
      <c r="D47" s="33" t="str">
        <f>IF(学校情報!$A$4&lt;&gt;"","",IF(ISNA(T47),"",T47))</f>
        <v/>
      </c>
      <c r="E47" s="33" t="str">
        <f>IF(学校情報!$A$4&lt;&gt;"","",IF(ISNA(U47),"",U47))</f>
        <v/>
      </c>
      <c r="F47" s="36" t="str">
        <f>IF(学校情報!$A$4&lt;&gt;"","",IF(ISNA(V47),"",V47))</f>
        <v/>
      </c>
      <c r="G47" s="419"/>
      <c r="H47" s="415" t="str">
        <f>IF(学校情報!$A$4&lt;&gt;"","",IF(ISNA(VLOOKUP(AJ47,リレーチーム情報!$A$17:$S$22,9,FALSE)),"",VLOOKUP(AJ47,リレーチーム情報!$A$17:$S$22,9,FALSE)))</f>
        <v/>
      </c>
      <c r="I47" s="416"/>
      <c r="J47" s="88" t="str">
        <f>IF(学校情報!$A$4&lt;&gt;"","",IF(ISNA(VLOOKUP(AJ47,リレーチーム情報!$A$17:$S$22,10,FALSE)),"",VLOOKUP(AJ47,リレーチーム情報!$A$17:$S$22,10,FALSE)))</f>
        <v/>
      </c>
      <c r="K47" s="420"/>
      <c r="L47" s="422"/>
      <c r="M47" s="403" t="str">
        <f>設定!K23</f>
        <v>円盤投</v>
      </c>
      <c r="N47" s="413" t="str">
        <f>IF(学校情報!$A$4&lt;&gt;"","",IF(ISNA(AE47),"",AE47))</f>
        <v/>
      </c>
      <c r="O47" s="414"/>
      <c r="P47" s="33" t="str">
        <f>IF(学校情報!$A$4&lt;&gt;"","",IF(ISNA(AF47),"",AF47))</f>
        <v/>
      </c>
      <c r="Q47" s="33" t="str">
        <f>IF(学校情報!$A$4&lt;&gt;"","",IF(ISNA(AG47),"",AG47))</f>
        <v/>
      </c>
      <c r="R47" s="36" t="str">
        <f>IF(学校情報!$A$4&lt;&gt;"","",IF(ISNA(AH47),"",AH47))</f>
        <v/>
      </c>
      <c r="S47" t="e">
        <f>VLOOKUP($S$31&amp;$A47,選手情報!$B$6:$H$119,5,FALSE)</f>
        <v>#N/A</v>
      </c>
      <c r="T47" t="e">
        <f>VLOOKUP($S$31&amp;$A47,選手情報!$B$6:$H$119,7,FALSE)</f>
        <v>#N/A</v>
      </c>
      <c r="U47" t="e">
        <f>VLOOKUP($S$31&amp;$A47,選手情報!$B$6:$P$119,15,FALSE)</f>
        <v>#N/A</v>
      </c>
      <c r="V47" t="e">
        <f>VLOOKUP($S$31&amp;$A47,選手情報!$B$6:$T$119,19,FALSE)</f>
        <v>#N/A</v>
      </c>
      <c r="W47" t="e">
        <f>VLOOKUP($S$31&amp;$A47,選手情報!$B$6:$BD$119,55,FALSE)</f>
        <v>#N/A</v>
      </c>
      <c r="AE47" t="e">
        <f>VLOOKUP($S$31&amp;$M47,選手情報!$B$6:$H$119,5,FALSE)</f>
        <v>#N/A</v>
      </c>
      <c r="AF47" t="e">
        <f>VLOOKUP($S$31&amp;$M47,選手情報!$B$6:$H$119,7,FALSE)</f>
        <v>#N/A</v>
      </c>
      <c r="AG47" t="e">
        <f>VLOOKUP($S$31&amp;$M47,選手情報!$B$6:$P$119,15,FALSE)</f>
        <v>#N/A</v>
      </c>
      <c r="AH47" t="e">
        <f>VLOOKUP($S$31&amp;$M47,選手情報!$B$6:$T$119,19,FALSE)</f>
        <v>#N/A</v>
      </c>
      <c r="AI47" t="e">
        <f>VLOOKUP($S$31&amp;$M47,選手情報!$B$6:$BD$119,55,FALSE)</f>
        <v>#N/A</v>
      </c>
      <c r="AJ47">
        <v>4</v>
      </c>
    </row>
    <row r="48" spans="1:36" ht="21.95" customHeight="1">
      <c r="A48" s="411"/>
      <c r="B48" s="415" t="str">
        <f>IF(学校情報!$A$4&lt;&gt;"","",IF(ISNA(S48),"",S48))</f>
        <v/>
      </c>
      <c r="C48" s="416"/>
      <c r="D48" s="34" t="str">
        <f>IF(学校情報!$A$4&lt;&gt;"","",IF(ISNA(T48),"",T48))</f>
        <v/>
      </c>
      <c r="E48" s="34" t="str">
        <f>IF(学校情報!$A$4&lt;&gt;"","",IF(ISNA(U48),"",U48))</f>
        <v/>
      </c>
      <c r="F48" s="37" t="str">
        <f>IF(学校情報!$A$4&lt;&gt;"","",IF(ISNA(V48),"",V48))</f>
        <v/>
      </c>
      <c r="G48" s="419"/>
      <c r="H48" s="415" t="str">
        <f>IF(学校情報!$A$4&lt;&gt;"","",IF(ISNA(VLOOKUP(AJ48,リレーチーム情報!$A$17:$S$22,9,FALSE)),"",VLOOKUP(AJ48,リレーチーム情報!$A$17:$S$22,9,FALSE)))</f>
        <v/>
      </c>
      <c r="I48" s="416"/>
      <c r="J48" s="34" t="str">
        <f>IF(学校情報!$A$4&lt;&gt;"","",IF(ISNA(VLOOKUP(AJ48,リレーチーム情報!$A$17:$S$22,10,FALSE)),"",VLOOKUP(AJ48,リレーチーム情報!$A$17:$S$22,10,FALSE)))</f>
        <v/>
      </c>
      <c r="K48" s="420"/>
      <c r="L48" s="422"/>
      <c r="M48" s="419"/>
      <c r="N48" s="415" t="str">
        <f>IF(学校情報!$A$4&lt;&gt;"","",IF(ISNA(AE48),"",AE48))</f>
        <v/>
      </c>
      <c r="O48" s="416"/>
      <c r="P48" s="34" t="str">
        <f>IF(学校情報!$A$4&lt;&gt;"","",IF(ISNA(AF48),"",AF48))</f>
        <v/>
      </c>
      <c r="Q48" s="34" t="str">
        <f>IF(学校情報!$A$4&lt;&gt;"","",IF(ISNA(AG48),"",AG48))</f>
        <v/>
      </c>
      <c r="R48" s="37" t="str">
        <f>IF(学校情報!$A$4&lt;&gt;"","",IF(ISNA(AH48),"",AH48))</f>
        <v/>
      </c>
      <c r="S48" t="e">
        <f ca="1">VLOOKUP($S$31&amp;$A47,OFFSET(選手情報!$B$6:$H$119,W47,0),5,FALSE)</f>
        <v>#N/A</v>
      </c>
      <c r="T48" t="e">
        <f ca="1">VLOOKUP($S$31&amp;$A47,OFFSET(選手情報!$B$6:$H$119,W47,0),7,FALSE)</f>
        <v>#N/A</v>
      </c>
      <c r="U48" t="e">
        <f ca="1">VLOOKUP($S$31&amp;$A47,OFFSET(選手情報!$B$6:$P$119,W47,0),15,FALSE)</f>
        <v>#N/A</v>
      </c>
      <c r="V48" t="e">
        <f ca="1">VLOOKUP($S$31&amp;$A47,OFFSET(選手情報!$B$6:$T$119,W47,0),19,FALSE)</f>
        <v>#N/A</v>
      </c>
      <c r="W48" t="e">
        <f ca="1">VLOOKUP($S$31&amp;$A47,OFFSET(選手情報!$B$6:$BD$119,W47,0),55,FALSE)</f>
        <v>#N/A</v>
      </c>
      <c r="AE48" t="e">
        <f ca="1">VLOOKUP($S$31&amp;$M47,OFFSET(選手情報!$B$6:$H$119,AI47,0),5,FALSE)</f>
        <v>#N/A</v>
      </c>
      <c r="AF48" t="e">
        <f ca="1">VLOOKUP($S$31&amp;$M47,OFFSET(選手情報!$B$6:$H$119,AI47,0),7,FALSE)</f>
        <v>#N/A</v>
      </c>
      <c r="AG48" t="e">
        <f ca="1">VLOOKUP($S$31&amp;$M47,OFFSET(選手情報!$B$6:$P$119,AI47,0),15,FALSE)</f>
        <v>#N/A</v>
      </c>
      <c r="AH48" t="e">
        <f ca="1">VLOOKUP($S$31&amp;$M47,OFFSET(選手情報!$B$6:$T$119,AI47,0),19,FALSE)</f>
        <v>#N/A</v>
      </c>
      <c r="AI48" t="e">
        <f ca="1">VLOOKUP($S$31&amp;$M47,OFFSET(選手情報!$B$6:$BD$119,AI47,0),55,FALSE)</f>
        <v>#N/A</v>
      </c>
      <c r="AJ48">
        <v>5</v>
      </c>
    </row>
    <row r="49" spans="1:36" ht="21.95" customHeight="1" thickBot="1">
      <c r="A49" s="396"/>
      <c r="B49" s="417" t="str">
        <f>IF(学校情報!$A$4&lt;&gt;"","",IF(ISNA(S49),"",S49))</f>
        <v/>
      </c>
      <c r="C49" s="418"/>
      <c r="D49" s="35" t="str">
        <f>IF(学校情報!$A$4&lt;&gt;"","",IF(ISNA(T49),"",T49))</f>
        <v/>
      </c>
      <c r="E49" s="35" t="str">
        <f>IF(学校情報!$A$4&lt;&gt;"","",IF(ISNA(U49),"",U49))</f>
        <v/>
      </c>
      <c r="F49" s="38" t="str">
        <f>IF(学校情報!$A$4&lt;&gt;"","",IF(ISNA(V49),"",V49))</f>
        <v/>
      </c>
      <c r="G49" s="406"/>
      <c r="H49" s="417" t="str">
        <f>IF(学校情報!$A$4&lt;&gt;"","",IF(ISNA(VLOOKUP(AJ49,リレーチーム情報!$A$17:$S$22,9,FALSE)),"",VLOOKUP(AJ49,リレーチーム情報!$A$17:$S$22,9,FALSE)))</f>
        <v/>
      </c>
      <c r="I49" s="418"/>
      <c r="J49" s="41" t="str">
        <f>IF(学校情報!$A$4&lt;&gt;"","",IF(ISNA(VLOOKUP(AJ49,リレーチーム情報!$A$17:$S$22,10,FALSE)),"",VLOOKUP(AJ49,リレーチーム情報!$A$17:$S$22,10,FALSE)))</f>
        <v/>
      </c>
      <c r="K49" s="408"/>
      <c r="L49" s="423"/>
      <c r="M49" s="406"/>
      <c r="N49" s="417" t="str">
        <f>IF(学校情報!$A$4&lt;&gt;"","",IF(ISNA(AE49),"",AE49))</f>
        <v/>
      </c>
      <c r="O49" s="418"/>
      <c r="P49" s="35" t="str">
        <f>IF(学校情報!$A$4&lt;&gt;"","",IF(ISNA(AF49),"",AF49))</f>
        <v/>
      </c>
      <c r="Q49" s="35" t="str">
        <f>IF(学校情報!$A$4&lt;&gt;"","",IF(ISNA(AG49),"",AG49))</f>
        <v/>
      </c>
      <c r="R49" s="38" t="str">
        <f>IF(学校情報!$A$4&lt;&gt;"","",IF(ISNA(AH49),"",AH49))</f>
        <v/>
      </c>
      <c r="S49" t="e">
        <f ca="1">VLOOKUP($S$31&amp;$A47,OFFSET(選手情報!$B$6:$H$119,W48,0),5,FALSE)</f>
        <v>#N/A</v>
      </c>
      <c r="T49" t="e">
        <f ca="1">VLOOKUP($S$31&amp;$A47,OFFSET(選手情報!$B$6:$H$119,W48,0),7,FALSE)</f>
        <v>#N/A</v>
      </c>
      <c r="U49" t="e">
        <f ca="1">VLOOKUP($S$31&amp;$A47,OFFSET(選手情報!$B$6:$P$119,W48,0),15,FALSE)</f>
        <v>#N/A</v>
      </c>
      <c r="V49" t="e">
        <f ca="1">VLOOKUP($S$31&amp;$A47,OFFSET(選手情報!$B$6:$T$119,W48,0),19,FALSE)</f>
        <v>#N/A</v>
      </c>
      <c r="W49" t="e">
        <f ca="1">VLOOKUP($S$31&amp;$A47,OFFSET(選手情報!$B$6:$BD$119,W48,0),55,FALSE)</f>
        <v>#N/A</v>
      </c>
      <c r="AE49" t="e">
        <f ca="1">VLOOKUP($S$31&amp;$M47,OFFSET(選手情報!$B$6:$H$119,AI48,0),5,FALSE)</f>
        <v>#N/A</v>
      </c>
      <c r="AF49" t="e">
        <f ca="1">VLOOKUP($S$31&amp;$M47,OFFSET(選手情報!$B$6:$H$119,AI48,0),7,FALSE)</f>
        <v>#N/A</v>
      </c>
      <c r="AG49" t="e">
        <f ca="1">VLOOKUP($S$31&amp;$M47,OFFSET(選手情報!$B$6:$P$119,AI48,0),15,FALSE)</f>
        <v>#N/A</v>
      </c>
      <c r="AH49" t="e">
        <f ca="1">VLOOKUP($S$31&amp;$M47,OFFSET(選手情報!$B$6:$T$119,AI48,0),19,FALSE)</f>
        <v>#N/A</v>
      </c>
      <c r="AI49" t="e">
        <f ca="1">VLOOKUP($S$31&amp;$M47,OFFSET(選手情報!$B$6:$BD$119,AI48,0),55,FALSE)</f>
        <v>#N/A</v>
      </c>
      <c r="AJ49">
        <v>6</v>
      </c>
    </row>
    <row r="50" spans="1:36" ht="21.95" customHeight="1">
      <c r="A50" s="395" t="str">
        <f>設定!K7</f>
        <v>5000m</v>
      </c>
      <c r="B50" s="413" t="str">
        <f>IF(学校情報!$A$4&lt;&gt;"","",IF(ISNA(S50),"",S50))</f>
        <v/>
      </c>
      <c r="C50" s="414"/>
      <c r="D50" s="33" t="str">
        <f>IF(学校情報!$A$4&lt;&gt;"","",IF(ISNA(T50),"",T50))</f>
        <v/>
      </c>
      <c r="E50" s="33" t="str">
        <f>IF(学校情報!$A$4&lt;&gt;"","",IF(ISNA(U50),"",U50))</f>
        <v/>
      </c>
      <c r="F50" s="36" t="str">
        <f>IF(学校情報!$A$4&lt;&gt;"","",IF(ISNA(V50),"",V50))</f>
        <v/>
      </c>
      <c r="G50" s="403" t="s">
        <v>150</v>
      </c>
      <c r="H50" s="413" t="str">
        <f>IF(学校情報!$A$4&lt;&gt;"","",IF(ISNA(VLOOKUP(AJ50,リレーチーム情報!$A$23:$S$28,9,FALSE)),"",VLOOKUP(AJ50,リレーチーム情報!$A$23:$S$28,9,FALSE)))</f>
        <v/>
      </c>
      <c r="I50" s="414"/>
      <c r="J50" s="34" t="str">
        <f>IF(学校情報!$A$4&lt;&gt;"","",IF(ISNA(VLOOKUP(AJ50,リレーチーム情報!$A$23:$S$28,10,FALSE)),"",VLOOKUP(AJ50,リレーチーム情報!$A$23:$S$28,10,FALSE)))</f>
        <v/>
      </c>
      <c r="K50" s="405" t="str">
        <f>IF(学校情報!$A$4&lt;&gt;"","",IF(AND(リレーチーム情報!T23="〇",リレーチーム情報!Q23&lt;&gt;""),リレーチーム情報!Q23,""))</f>
        <v/>
      </c>
      <c r="L50" s="421" t="str">
        <f>IF(学校情報!$A$4&lt;&gt;"","",IF(K50&lt;&gt;"",リレーチーム情報!S23,""))</f>
        <v/>
      </c>
      <c r="M50" s="403" t="str">
        <f>設定!K24</f>
        <v>ハンマー投</v>
      </c>
      <c r="N50" s="413" t="str">
        <f>IF(学校情報!$A$4&lt;&gt;"","",IF(ISNA(AE50),"",AE50))</f>
        <v/>
      </c>
      <c r="O50" s="414"/>
      <c r="P50" s="33" t="str">
        <f>IF(学校情報!$A$4&lt;&gt;"","",IF(ISNA(AF50),"",AF50))</f>
        <v/>
      </c>
      <c r="Q50" s="33" t="str">
        <f>IF(学校情報!$A$4&lt;&gt;"","",IF(ISNA(AG50),"",AG50))</f>
        <v/>
      </c>
      <c r="R50" s="36" t="str">
        <f>IF(学校情報!$A$4&lt;&gt;"","",IF(ISNA(AH50),"",AH50))</f>
        <v/>
      </c>
      <c r="S50" t="e">
        <f>VLOOKUP($S$31&amp;$A50,選手情報!$B$6:$H$119,5,FALSE)</f>
        <v>#N/A</v>
      </c>
      <c r="T50" t="e">
        <f>VLOOKUP($S$31&amp;$A50,選手情報!$B$6:$H$119,7,FALSE)</f>
        <v>#N/A</v>
      </c>
      <c r="U50" t="e">
        <f>VLOOKUP($S$31&amp;$A50,選手情報!$B$6:$P$119,15,FALSE)</f>
        <v>#N/A</v>
      </c>
      <c r="V50" t="e">
        <f>VLOOKUP($S$31&amp;$A50,選手情報!$B$6:$T$119,19,FALSE)</f>
        <v>#N/A</v>
      </c>
      <c r="W50" t="e">
        <f>VLOOKUP($S$31&amp;$A50,選手情報!$B$6:$BD$119,55,FALSE)</f>
        <v>#N/A</v>
      </c>
      <c r="AE50" t="e">
        <f>VLOOKUP($S$31&amp;$M50,選手情報!$B$6:$H$119,5,FALSE)</f>
        <v>#N/A</v>
      </c>
      <c r="AF50" t="e">
        <f>VLOOKUP($S$31&amp;$M50,選手情報!$B$6:$H$119,7,FALSE)</f>
        <v>#N/A</v>
      </c>
      <c r="AG50" t="e">
        <f>VLOOKUP($S$31&amp;$M50,選手情報!$B$6:$P$119,15,FALSE)</f>
        <v>#N/A</v>
      </c>
      <c r="AH50" t="e">
        <f>VLOOKUP($S$31&amp;$M50,選手情報!$B$6:$T$119,19,FALSE)</f>
        <v>#N/A</v>
      </c>
      <c r="AI50" t="e">
        <f>VLOOKUP($S$31&amp;$M50,選手情報!$B$6:$BD$119,55,FALSE)</f>
        <v>#N/A</v>
      </c>
      <c r="AJ50">
        <v>1</v>
      </c>
    </row>
    <row r="51" spans="1:36" ht="21.95" customHeight="1">
      <c r="A51" s="411"/>
      <c r="B51" s="415" t="str">
        <f>IF(学校情報!$A$4&lt;&gt;"","",IF(ISNA(S51),"",S51))</f>
        <v/>
      </c>
      <c r="C51" s="416"/>
      <c r="D51" s="34" t="str">
        <f>IF(学校情報!$A$4&lt;&gt;"","",IF(ISNA(T51),"",T51))</f>
        <v/>
      </c>
      <c r="E51" s="34" t="str">
        <f>IF(学校情報!$A$4&lt;&gt;"","",IF(ISNA(U51),"",U51))</f>
        <v/>
      </c>
      <c r="F51" s="37" t="str">
        <f>IF(学校情報!$A$4&lt;&gt;"","",IF(ISNA(V51),"",V51))</f>
        <v/>
      </c>
      <c r="G51" s="419"/>
      <c r="H51" s="415" t="str">
        <f>IF(学校情報!$A$4&lt;&gt;"","",IF(ISNA(VLOOKUP(AJ51,リレーチーム情報!$A$23:$S$28,9,FALSE)),"",VLOOKUP(AJ51,リレーチーム情報!$A$23:$S$28,9,FALSE)))</f>
        <v/>
      </c>
      <c r="I51" s="416"/>
      <c r="J51" s="34" t="str">
        <f>IF(学校情報!$A$4&lt;&gt;"","",IF(ISNA(VLOOKUP(AJ51,リレーチーム情報!$A$23:$S$28,10,FALSE)),"",VLOOKUP(AJ51,リレーチーム情報!$A$23:$S$28,10,FALSE)))</f>
        <v/>
      </c>
      <c r="K51" s="420"/>
      <c r="L51" s="422"/>
      <c r="M51" s="419"/>
      <c r="N51" s="415" t="str">
        <f>IF(学校情報!$A$4&lt;&gt;"","",IF(ISNA(AE51),"",AE51))</f>
        <v/>
      </c>
      <c r="O51" s="416"/>
      <c r="P51" s="34" t="str">
        <f>IF(学校情報!$A$4&lt;&gt;"","",IF(ISNA(AF51),"",AF51))</f>
        <v/>
      </c>
      <c r="Q51" s="34" t="str">
        <f>IF(学校情報!$A$4&lt;&gt;"","",IF(ISNA(AG51),"",AG51))</f>
        <v/>
      </c>
      <c r="R51" s="37" t="str">
        <f>IF(学校情報!$A$4&lt;&gt;"","",IF(ISNA(AH51),"",AH51))</f>
        <v/>
      </c>
      <c r="S51" t="e">
        <f ca="1">VLOOKUP($S$31&amp;$A50,OFFSET(選手情報!$B$6:$H$119,W50,0),5,FALSE)</f>
        <v>#N/A</v>
      </c>
      <c r="T51" t="e">
        <f ca="1">VLOOKUP($S$31&amp;$A50,OFFSET(選手情報!$B$6:$H$119,W50,0),7,FALSE)</f>
        <v>#N/A</v>
      </c>
      <c r="U51" t="e">
        <f ca="1">VLOOKUP($S$31&amp;$A50,OFFSET(選手情報!$B$6:$P$119,W50,0),15,FALSE)</f>
        <v>#N/A</v>
      </c>
      <c r="V51" t="e">
        <f ca="1">VLOOKUP($S$31&amp;$A50,OFFSET(選手情報!$B$6:$T$119,W50,0),19,FALSE)</f>
        <v>#N/A</v>
      </c>
      <c r="W51" t="e">
        <f ca="1">VLOOKUP($S$31&amp;$A50,OFFSET(選手情報!$B$6:$BD$119,W50,0),55,FALSE)</f>
        <v>#N/A</v>
      </c>
      <c r="AE51" t="e">
        <f ca="1">VLOOKUP($S$31&amp;$M50,OFFSET(選手情報!$B$6:$H$119,AI50,0),5,FALSE)</f>
        <v>#N/A</v>
      </c>
      <c r="AF51" t="e">
        <f ca="1">VLOOKUP($S$31&amp;$M50,OFFSET(選手情報!$B$6:$H$119,AI50,0),7,FALSE)</f>
        <v>#N/A</v>
      </c>
      <c r="AG51" t="e">
        <f ca="1">VLOOKUP($S$31&amp;$M50,OFFSET(選手情報!$B$6:$P$119,AI50,0),15,FALSE)</f>
        <v>#N/A</v>
      </c>
      <c r="AH51" t="e">
        <f ca="1">VLOOKUP($S$31&amp;$M50,OFFSET(選手情報!$B$6:$T$119,AI50,0),19,FALSE)</f>
        <v>#N/A</v>
      </c>
      <c r="AI51" t="e">
        <f ca="1">VLOOKUP($S$31&amp;$M50,OFFSET(選手情報!$B$6:$BD$119,AI50,0),55,FALSE)</f>
        <v>#N/A</v>
      </c>
      <c r="AJ51">
        <v>2</v>
      </c>
    </row>
    <row r="52" spans="1:36" ht="21.95" customHeight="1" thickBot="1">
      <c r="A52" s="396"/>
      <c r="B52" s="417" t="str">
        <f>IF(学校情報!$A$4&lt;&gt;"","",IF(ISNA(S52),"",S52))</f>
        <v/>
      </c>
      <c r="C52" s="418"/>
      <c r="D52" s="35" t="str">
        <f>IF(学校情報!$A$4&lt;&gt;"","",IF(ISNA(T52),"",T52))</f>
        <v/>
      </c>
      <c r="E52" s="35" t="str">
        <f>IF(学校情報!$A$4&lt;&gt;"","",IF(ISNA(U52),"",U52))</f>
        <v/>
      </c>
      <c r="F52" s="38" t="str">
        <f>IF(学校情報!$A$4&lt;&gt;"","",IF(ISNA(V52),"",V52))</f>
        <v/>
      </c>
      <c r="G52" s="419"/>
      <c r="H52" s="415" t="str">
        <f>IF(学校情報!$A$4&lt;&gt;"","",IF(ISNA(VLOOKUP(AJ52,リレーチーム情報!$A$23:$S$28,9,FALSE)),"",VLOOKUP(AJ52,リレーチーム情報!$A$23:$S$28,9,FALSE)))</f>
        <v/>
      </c>
      <c r="I52" s="416"/>
      <c r="J52" s="34" t="str">
        <f>IF(学校情報!$A$4&lt;&gt;"","",IF(ISNA(VLOOKUP(AJ52,リレーチーム情報!$A$23:$S$28,10,FALSE)),"",VLOOKUP(AJ52,リレーチーム情報!$A$23:$S$28,10,FALSE)))</f>
        <v/>
      </c>
      <c r="K52" s="420"/>
      <c r="L52" s="422"/>
      <c r="M52" s="406"/>
      <c r="N52" s="417" t="str">
        <f>IF(学校情報!$A$4&lt;&gt;"","",IF(ISNA(AE52),"",AE52))</f>
        <v/>
      </c>
      <c r="O52" s="418"/>
      <c r="P52" s="35" t="str">
        <f>IF(学校情報!$A$4&lt;&gt;"","",IF(ISNA(AF52),"",AF52))</f>
        <v/>
      </c>
      <c r="Q52" s="35" t="str">
        <f>IF(学校情報!$A$4&lt;&gt;"","",IF(ISNA(AG52),"",AG52))</f>
        <v/>
      </c>
      <c r="R52" s="38" t="str">
        <f>IF(学校情報!$A$4&lt;&gt;"","",IF(ISNA(AH52),"",AH52))</f>
        <v/>
      </c>
      <c r="S52" t="e">
        <f ca="1">VLOOKUP($S$31&amp;$A50,OFFSET(選手情報!$B$6:$H$119,W51,0),5,FALSE)</f>
        <v>#N/A</v>
      </c>
      <c r="T52" t="e">
        <f ca="1">VLOOKUP($S$31&amp;$A50,OFFSET(選手情報!$B$6:$H$119,W51,0),7,FALSE)</f>
        <v>#N/A</v>
      </c>
      <c r="U52" t="e">
        <f ca="1">VLOOKUP($S$31&amp;$A50,OFFSET(選手情報!$B$6:$P$119,W51,0),15,FALSE)</f>
        <v>#N/A</v>
      </c>
      <c r="V52" t="e">
        <f ca="1">VLOOKUP($S$31&amp;$A50,OFFSET(選手情報!$B$6:$T$119,W51,0),19,FALSE)</f>
        <v>#N/A</v>
      </c>
      <c r="W52" t="e">
        <f ca="1">VLOOKUP($S$31&amp;$A50,OFFSET(選手情報!$B$6:$BD$119,W51,0),55,FALSE)</f>
        <v>#N/A</v>
      </c>
      <c r="AE52" t="e">
        <f ca="1">VLOOKUP($S$31&amp;$M50,OFFSET(選手情報!$B$6:$H$119,AI51,0),5,FALSE)</f>
        <v>#N/A</v>
      </c>
      <c r="AF52" t="e">
        <f ca="1">VLOOKUP($S$31&amp;$M50,OFFSET(選手情報!$B$6:$H$119,AI51,0),7,FALSE)</f>
        <v>#N/A</v>
      </c>
      <c r="AG52" t="e">
        <f ca="1">VLOOKUP($S$31&amp;$M50,OFFSET(選手情報!$B$6:$P$119,AI51,0),15,FALSE)</f>
        <v>#N/A</v>
      </c>
      <c r="AH52" t="e">
        <f ca="1">VLOOKUP($S$31&amp;$M50,OFFSET(選手情報!$B$6:$T$119,AI51,0),19,FALSE)</f>
        <v>#N/A</v>
      </c>
      <c r="AI52" t="e">
        <f ca="1">VLOOKUP($S$31&amp;$M50,OFFSET(選手情報!$B$6:$BD$119,AI51,0),55,FALSE)</f>
        <v>#N/A</v>
      </c>
      <c r="AJ52">
        <v>3</v>
      </c>
    </row>
    <row r="53" spans="1:36" ht="21.95" customHeight="1">
      <c r="A53" s="395" t="str">
        <f>設定!K9</f>
        <v>10000m</v>
      </c>
      <c r="B53" s="413" t="str">
        <f>IF(学校情報!$A$4&lt;&gt;"","",IF(ISNA(S53),"",S53))</f>
        <v/>
      </c>
      <c r="C53" s="414"/>
      <c r="D53" s="33" t="str">
        <f>IF(学校情報!$A$4&lt;&gt;"","",IF(ISNA(T53),"",T53))</f>
        <v/>
      </c>
      <c r="E53" s="33" t="str">
        <f>IF(学校情報!$A$4&lt;&gt;"","",IF(ISNA(U53),"",U53))</f>
        <v/>
      </c>
      <c r="F53" s="36" t="str">
        <f>IF(学校情報!$A$4&lt;&gt;"","",IF(ISNA(V53),"",V53))</f>
        <v/>
      </c>
      <c r="G53" s="419"/>
      <c r="H53" s="415" t="str">
        <f>IF(学校情報!$A$4&lt;&gt;"","",IF(ISNA(VLOOKUP(AJ53,リレーチーム情報!$A$23:$S$28,9,FALSE)),"",VLOOKUP(AJ53,リレーチーム情報!$A$23:$S$28,9,FALSE)))</f>
        <v/>
      </c>
      <c r="I53" s="416"/>
      <c r="J53" s="88" t="str">
        <f>IF(学校情報!$A$4&lt;&gt;"","",IF(ISNA(VLOOKUP(AJ53,リレーチーム情報!$A$23:$S$28,10,FALSE)),"",VLOOKUP(AJ53,リレーチーム情報!$A$23:$S$28,10,FALSE)))</f>
        <v/>
      </c>
      <c r="K53" s="420"/>
      <c r="L53" s="422"/>
      <c r="M53" s="403" t="str">
        <f>設定!K25</f>
        <v>やり投</v>
      </c>
      <c r="N53" s="413" t="str">
        <f>IF(学校情報!$A$4&lt;&gt;"","",IF(ISNA(AE53),"",AE53))</f>
        <v/>
      </c>
      <c r="O53" s="414"/>
      <c r="P53" s="33" t="str">
        <f>IF(学校情報!$A$4&lt;&gt;"","",IF(ISNA(AF53),"",AF53))</f>
        <v/>
      </c>
      <c r="Q53" s="33" t="str">
        <f>IF(学校情報!$A$4&lt;&gt;"","",IF(ISNA(AG53),"",AG53))</f>
        <v/>
      </c>
      <c r="R53" s="36" t="str">
        <f>IF(学校情報!$A$4&lt;&gt;"","",IF(ISNA(AH53),"",AH53))</f>
        <v/>
      </c>
      <c r="S53" t="e">
        <f>VLOOKUP($S$31&amp;$A53,選手情報!$B$6:$H$119,5,FALSE)</f>
        <v>#N/A</v>
      </c>
      <c r="T53" t="e">
        <f>VLOOKUP($S$31&amp;$A53,選手情報!$B$6:$H$119,7,FALSE)</f>
        <v>#N/A</v>
      </c>
      <c r="U53" t="e">
        <f>VLOOKUP($S$31&amp;$A53,選手情報!$B$6:$P$119,15,FALSE)</f>
        <v>#N/A</v>
      </c>
      <c r="V53" t="e">
        <f>VLOOKUP($S$31&amp;$A53,選手情報!$B$6:$T$119,19,FALSE)</f>
        <v>#N/A</v>
      </c>
      <c r="W53" t="e">
        <f>VLOOKUP($S$31&amp;$A53,選手情報!$B$6:$BD$119,55,FALSE)</f>
        <v>#N/A</v>
      </c>
      <c r="AE53" t="e">
        <f>VLOOKUP($S$31&amp;$M53,選手情報!$B$6:$H$119,5,FALSE)</f>
        <v>#N/A</v>
      </c>
      <c r="AF53" t="e">
        <f>VLOOKUP($S$31&amp;$M53,選手情報!$B$6:$H$119,7,FALSE)</f>
        <v>#N/A</v>
      </c>
      <c r="AG53" t="e">
        <f>VLOOKUP($S$31&amp;$M53,選手情報!$B$6:$P$119,15,FALSE)</f>
        <v>#N/A</v>
      </c>
      <c r="AH53" t="e">
        <f>VLOOKUP($S$31&amp;$M53,選手情報!$B$6:$T$119,19,FALSE)</f>
        <v>#N/A</v>
      </c>
      <c r="AI53" t="e">
        <f>VLOOKUP($S$31&amp;$M53,選手情報!$B$6:$BD$119,55,FALSE)</f>
        <v>#N/A</v>
      </c>
      <c r="AJ53">
        <v>4</v>
      </c>
    </row>
    <row r="54" spans="1:36" ht="21.95" customHeight="1">
      <c r="A54" s="411"/>
      <c r="B54" s="415" t="str">
        <f>IF(学校情報!$A$4&lt;&gt;"","",IF(ISNA(S54),"",S54))</f>
        <v/>
      </c>
      <c r="C54" s="416"/>
      <c r="D54" s="34" t="str">
        <f>IF(学校情報!$A$4&lt;&gt;"","",IF(ISNA(T54),"",T54))</f>
        <v/>
      </c>
      <c r="E54" s="34" t="str">
        <f>IF(学校情報!$A$4&lt;&gt;"","",IF(ISNA(U54),"",U54))</f>
        <v/>
      </c>
      <c r="F54" s="37" t="str">
        <f>IF(学校情報!$A$4&lt;&gt;"","",IF(ISNA(V54),"",V54))</f>
        <v/>
      </c>
      <c r="G54" s="419"/>
      <c r="H54" s="415" t="str">
        <f>IF(学校情報!$A$4&lt;&gt;"","",IF(ISNA(VLOOKUP(AJ54,リレーチーム情報!$A$23:$S$28,9,FALSE)),"",VLOOKUP(AJ54,リレーチーム情報!$A$23:$S$28,9,FALSE)))</f>
        <v/>
      </c>
      <c r="I54" s="416"/>
      <c r="J54" s="34" t="str">
        <f>IF(学校情報!$A$4&lt;&gt;"","",IF(ISNA(VLOOKUP(AJ54,リレーチーム情報!$A$23:$S$28,10,FALSE)),"",VLOOKUP(AJ54,リレーチーム情報!$A$23:$S$28,10,FALSE)))</f>
        <v/>
      </c>
      <c r="K54" s="420"/>
      <c r="L54" s="422"/>
      <c r="M54" s="419"/>
      <c r="N54" s="415" t="str">
        <f>IF(学校情報!$A$4&lt;&gt;"","",IF(ISNA(AE54),"",AE54))</f>
        <v/>
      </c>
      <c r="O54" s="416"/>
      <c r="P54" s="34" t="str">
        <f>IF(学校情報!$A$4&lt;&gt;"","",IF(ISNA(AF54),"",AF54))</f>
        <v/>
      </c>
      <c r="Q54" s="34" t="str">
        <f>IF(学校情報!$A$4&lt;&gt;"","",IF(ISNA(AG54),"",AG54))</f>
        <v/>
      </c>
      <c r="R54" s="37" t="str">
        <f>IF(学校情報!$A$4&lt;&gt;"","",IF(ISNA(AH54),"",AH54))</f>
        <v/>
      </c>
      <c r="S54" t="e">
        <f ca="1">VLOOKUP($S$31&amp;$A53,OFFSET(選手情報!$B$6:$H$119,W53,0),5,FALSE)</f>
        <v>#N/A</v>
      </c>
      <c r="T54" t="e">
        <f ca="1">VLOOKUP($S$31&amp;$A53,OFFSET(選手情報!$B$6:$H$119,W53,0),7,FALSE)</f>
        <v>#N/A</v>
      </c>
      <c r="U54" t="e">
        <f ca="1">VLOOKUP($S$31&amp;$A53,OFFSET(選手情報!$B$6:$P$119,W53,0),15,FALSE)</f>
        <v>#N/A</v>
      </c>
      <c r="V54" t="e">
        <f ca="1">VLOOKUP($S$31&amp;$A53,OFFSET(選手情報!$B$6:$T$119,W53,0),19,FALSE)</f>
        <v>#N/A</v>
      </c>
      <c r="W54" t="e">
        <f ca="1">VLOOKUP($S$31&amp;$A53,OFFSET(選手情報!$B$6:$BD$119,W53,0),55,FALSE)</f>
        <v>#N/A</v>
      </c>
      <c r="AE54" t="e">
        <f ca="1">VLOOKUP($S$31&amp;$M53,OFFSET(選手情報!$B$6:$H$119,AI53,0),5,FALSE)</f>
        <v>#N/A</v>
      </c>
      <c r="AF54" t="e">
        <f ca="1">VLOOKUP($S$31&amp;$M53,OFFSET(選手情報!$B$6:$H$119,AI53,0),7,FALSE)</f>
        <v>#N/A</v>
      </c>
      <c r="AG54" t="e">
        <f ca="1">VLOOKUP($S$31&amp;$M53,OFFSET(選手情報!$B$6:$P$119,AI53,0),15,FALSE)</f>
        <v>#N/A</v>
      </c>
      <c r="AH54" t="e">
        <f ca="1">VLOOKUP($S$31&amp;$M53,OFFSET(選手情報!$B$6:$T$119,AI53,0),19,FALSE)</f>
        <v>#N/A</v>
      </c>
      <c r="AI54" t="e">
        <f ca="1">VLOOKUP($S$31&amp;$M53,OFFSET(選手情報!$B$6:$BD$119,AI53,0),55,FALSE)</f>
        <v>#N/A</v>
      </c>
      <c r="AJ54">
        <v>5</v>
      </c>
    </row>
    <row r="55" spans="1:36" ht="21.95" customHeight="1" thickBot="1">
      <c r="A55" s="396"/>
      <c r="B55" s="417" t="str">
        <f>IF(学校情報!$A$4&lt;&gt;"","",IF(ISNA(S55),"",S55))</f>
        <v/>
      </c>
      <c r="C55" s="418"/>
      <c r="D55" s="35" t="str">
        <f>IF(学校情報!$A$4&lt;&gt;"","",IF(ISNA(T55),"",T55))</f>
        <v/>
      </c>
      <c r="E55" s="35" t="str">
        <f>IF(学校情報!$A$4&lt;&gt;"","",IF(ISNA(U55),"",U55))</f>
        <v/>
      </c>
      <c r="F55" s="38" t="str">
        <f>IF(学校情報!$A$4&lt;&gt;"","",IF(ISNA(V55),"",V55))</f>
        <v/>
      </c>
      <c r="G55" s="406"/>
      <c r="H55" s="417" t="str">
        <f>IF(学校情報!$A$4&lt;&gt;"","",IF(ISNA(VLOOKUP(AJ55,リレーチーム情報!$A$23:$S$28,9,FALSE)),"",VLOOKUP(AJ55,リレーチーム情報!$A$23:$S$28,9,FALSE)))</f>
        <v/>
      </c>
      <c r="I55" s="418"/>
      <c r="J55" s="41" t="str">
        <f>IF(学校情報!$A$4&lt;&gt;"","",IF(ISNA(VLOOKUP(AJ55,リレーチーム情報!$A$23:$S$28,10,FALSE)),"",VLOOKUP(AJ55,リレーチーム情報!$A$23:$S$28,10,FALSE)))</f>
        <v/>
      </c>
      <c r="K55" s="408"/>
      <c r="L55" s="423"/>
      <c r="M55" s="406"/>
      <c r="N55" s="417" t="str">
        <f>IF(学校情報!$A$4&lt;&gt;"","",IF(ISNA(AE55),"",AE55))</f>
        <v/>
      </c>
      <c r="O55" s="418"/>
      <c r="P55" s="35" t="str">
        <f>IF(学校情報!$A$4&lt;&gt;"","",IF(ISNA(AF55),"",AF55))</f>
        <v/>
      </c>
      <c r="Q55" s="35" t="str">
        <f>IF(学校情報!$A$4&lt;&gt;"","",IF(ISNA(AG55),"",AG55))</f>
        <v/>
      </c>
      <c r="R55" s="38" t="str">
        <f>IF(学校情報!$A$4&lt;&gt;"","",IF(ISNA(AH55),"",AH55))</f>
        <v/>
      </c>
      <c r="S55" t="e">
        <f ca="1">VLOOKUP($S$31&amp;$A53,OFFSET(選手情報!$B$6:$H$119,W54,0),5,FALSE)</f>
        <v>#N/A</v>
      </c>
      <c r="T55" t="e">
        <f ca="1">VLOOKUP($S$31&amp;$A53,OFFSET(選手情報!$B$6:$H$119,W54,0),7,FALSE)</f>
        <v>#N/A</v>
      </c>
      <c r="U55" t="e">
        <f ca="1">VLOOKUP($S$31&amp;$A53,OFFSET(選手情報!$B$6:$P$119,W54,0),15,FALSE)</f>
        <v>#N/A</v>
      </c>
      <c r="V55" t="e">
        <f ca="1">VLOOKUP($S$31&amp;$A53,OFFSET(選手情報!$B$6:$T$119,W54,0),19,FALSE)</f>
        <v>#N/A</v>
      </c>
      <c r="W55" t="e">
        <f ca="1">VLOOKUP($S$31&amp;$A53,OFFSET(選手情報!$B$6:$BD$119,W54,0),55,FALSE)</f>
        <v>#N/A</v>
      </c>
      <c r="AE55" t="e">
        <f ca="1">VLOOKUP($S$31&amp;$M53,OFFSET(選手情報!$B$6:$H$119,AI54,0),5,FALSE)</f>
        <v>#N/A</v>
      </c>
      <c r="AF55" t="e">
        <f ca="1">VLOOKUP($S$31&amp;$M53,OFFSET(選手情報!$B$6:$H$119,AI54,0),7,FALSE)</f>
        <v>#N/A</v>
      </c>
      <c r="AG55" t="e">
        <f ca="1">VLOOKUP($S$31&amp;$M53,OFFSET(選手情報!$B$6:$P$119,AI54,0),15,FALSE)</f>
        <v>#N/A</v>
      </c>
      <c r="AH55" t="e">
        <f ca="1">VLOOKUP($S$31&amp;$M53,OFFSET(選手情報!$B$6:$T$119,AI54,0),19,FALSE)</f>
        <v>#N/A</v>
      </c>
      <c r="AI55" t="e">
        <f ca="1">VLOOKUP($S$31&amp;$M53,OFFSET(選手情報!$B$6:$BD$119,AI54,0),55,FALSE)</f>
        <v>#N/A</v>
      </c>
      <c r="AJ55">
        <v>6</v>
      </c>
    </row>
    <row r="56" spans="1:36" ht="21.95" customHeight="1">
      <c r="A56" s="395" t="str">
        <f>設定!K12</f>
        <v>100mH</v>
      </c>
      <c r="B56" s="413" t="str">
        <f>IF(学校情報!$A$4&lt;&gt;"","",IF(ISNA(S56),"",S56))</f>
        <v/>
      </c>
      <c r="C56" s="414"/>
      <c r="D56" s="33" t="str">
        <f>IF(学校情報!$A$4&lt;&gt;"","",IF(ISNA(T56),"",T56))</f>
        <v/>
      </c>
      <c r="E56" s="33" t="str">
        <f>IF(学校情報!$A$4&lt;&gt;"","",IF(ISNA(U56),"",U56))</f>
        <v/>
      </c>
      <c r="F56" s="36" t="str">
        <f>IF(学校情報!$A$4&lt;&gt;"","",IF(ISNA(V56),"",V56))</f>
        <v/>
      </c>
      <c r="G56" s="395" t="str">
        <f>設定!K18</f>
        <v>走高跳</v>
      </c>
      <c r="H56" s="413" t="str">
        <f>IF(学校情報!$A$4&lt;&gt;"","",IF(ISNA(Y56),"",Y56))</f>
        <v/>
      </c>
      <c r="I56" s="414"/>
      <c r="J56" s="33" t="str">
        <f>IF(学校情報!$A$4&lt;&gt;"","",IF(ISNA(Z56),"",Z56))</f>
        <v/>
      </c>
      <c r="K56" s="33" t="str">
        <f>IF(学校情報!$A$4&lt;&gt;"","",IF(ISNA(AA56),"",AA56))</f>
        <v/>
      </c>
      <c r="L56" s="39" t="str">
        <f>IF(学校情報!$A$4&lt;&gt;"","",IF(ISNA(AB56),"",AB56))</f>
        <v/>
      </c>
      <c r="M56" s="424"/>
      <c r="N56" s="398"/>
      <c r="O56" s="398"/>
      <c r="P56" s="398"/>
      <c r="Q56" s="398"/>
      <c r="R56" s="398"/>
      <c r="S56" t="e">
        <f>VLOOKUP($S$31&amp;$A56,選手情報!$B$6:$H$119,5,FALSE)</f>
        <v>#N/A</v>
      </c>
      <c r="T56" t="e">
        <f>VLOOKUP($S$31&amp;$A56,選手情報!$B$6:$H$119,7,FALSE)</f>
        <v>#N/A</v>
      </c>
      <c r="U56" t="e">
        <f>VLOOKUP($S$31&amp;$A56,選手情報!$B$6:$P$119,15,FALSE)</f>
        <v>#N/A</v>
      </c>
      <c r="V56" t="e">
        <f>VLOOKUP($S$31&amp;$A56,選手情報!$B$6:$T$119,19,FALSE)</f>
        <v>#N/A</v>
      </c>
      <c r="W56" t="e">
        <f>VLOOKUP($S$31&amp;$A56,選手情報!$B$6:$BD$119,55,FALSE)</f>
        <v>#N/A</v>
      </c>
      <c r="Y56" t="e">
        <f>VLOOKUP($S$31&amp;$G56,選手情報!$B$6:$H$119,5,FALSE)</f>
        <v>#N/A</v>
      </c>
      <c r="Z56" t="e">
        <f>VLOOKUP($S$31&amp;$G56,選手情報!$B$6:$H$119,7,FALSE)</f>
        <v>#N/A</v>
      </c>
      <c r="AA56" t="e">
        <f>VLOOKUP($S$31&amp;$G56,選手情報!$B$6:$P$119,15,FALSE)</f>
        <v>#N/A</v>
      </c>
      <c r="AB56" t="e">
        <f>VLOOKUP($S$31&amp;$G56,選手情報!$B$6:$T$119,19,FALSE)</f>
        <v>#N/A</v>
      </c>
      <c r="AC56" t="e">
        <f>VLOOKUP($S$31&amp;$G56,選手情報!$B$6:$BD$119,55,FALSE)</f>
        <v>#N/A</v>
      </c>
      <c r="AE56" t="e">
        <f>VLOOKUP($S$31&amp;$M56,選手情報!$B$6:$H$119,5,FALSE)</f>
        <v>#N/A</v>
      </c>
      <c r="AF56" t="e">
        <f>VLOOKUP($S$31&amp;$M56,選手情報!$B$6:$H$119,7,FALSE)</f>
        <v>#N/A</v>
      </c>
      <c r="AG56" t="e">
        <f>VLOOKUP($S$31&amp;$M56,選手情報!$B$6:$P$119,15,FALSE)</f>
        <v>#N/A</v>
      </c>
      <c r="AH56" t="e">
        <f>VLOOKUP($S$31&amp;$M56,選手情報!$B$6:$T$119,19,FALSE)</f>
        <v>#N/A</v>
      </c>
      <c r="AI56" t="e">
        <f>VLOOKUP($S$31&amp;$M56,選手情報!$B$6:$BD$119,55,FALSE)</f>
        <v>#N/A</v>
      </c>
    </row>
    <row r="57" spans="1:36" ht="21.95" customHeight="1">
      <c r="A57" s="411"/>
      <c r="B57" s="415" t="str">
        <f>IF(学校情報!$A$4&lt;&gt;"","",IF(ISNA(S57),"",S57))</f>
        <v/>
      </c>
      <c r="C57" s="416"/>
      <c r="D57" s="34" t="str">
        <f>IF(学校情報!$A$4&lt;&gt;"","",IF(ISNA(T57),"",T57))</f>
        <v/>
      </c>
      <c r="E57" s="34" t="str">
        <f>IF(学校情報!$A$4&lt;&gt;"","",IF(ISNA(U57),"",U57))</f>
        <v/>
      </c>
      <c r="F57" s="37" t="str">
        <f>IF(学校情報!$A$4&lt;&gt;"","",IF(ISNA(V57),"",V57))</f>
        <v/>
      </c>
      <c r="G57" s="411"/>
      <c r="H57" s="415" t="str">
        <f>IF(学校情報!$A$4&lt;&gt;"","",IF(ISNA(Y57),"",Y57))</f>
        <v/>
      </c>
      <c r="I57" s="416"/>
      <c r="J57" s="34" t="str">
        <f>IF(学校情報!$A$4&lt;&gt;"","",IF(ISNA(Z57),"",Z57))</f>
        <v/>
      </c>
      <c r="K57" s="34" t="str">
        <f>IF(学校情報!$A$4&lt;&gt;"","",IF(ISNA(AA57),"",AA57))</f>
        <v/>
      </c>
      <c r="L57" s="40" t="str">
        <f>IF(学校情報!$A$4&lt;&gt;"","",IF(ISNA(AB57),"",AB57))</f>
        <v/>
      </c>
      <c r="M57" s="425"/>
      <c r="N57" s="426"/>
      <c r="O57" s="426"/>
      <c r="P57" s="426"/>
      <c r="Q57" s="426"/>
      <c r="R57" s="426"/>
      <c r="S57" t="e">
        <f ca="1">VLOOKUP($S$31&amp;$A56,OFFSET(選手情報!$B$6:$H$119,W56,0),5,FALSE)</f>
        <v>#N/A</v>
      </c>
      <c r="T57" t="e">
        <f ca="1">VLOOKUP($S$31&amp;$A56,OFFSET(選手情報!$B$6:$H$119,W56,0),7,FALSE)</f>
        <v>#N/A</v>
      </c>
      <c r="U57" t="e">
        <f ca="1">VLOOKUP($S$31&amp;$A56,OFFSET(選手情報!$B$6:$P$119,W56,0),15,FALSE)</f>
        <v>#N/A</v>
      </c>
      <c r="V57" t="e">
        <f ca="1">VLOOKUP($S$31&amp;$A56,OFFSET(選手情報!$B$6:$T$119,W56,0),19,FALSE)</f>
        <v>#N/A</v>
      </c>
      <c r="W57" t="e">
        <f ca="1">VLOOKUP($S$31&amp;$A56,OFFSET(選手情報!$B$6:$BD$119,W56,0),55,FALSE)</f>
        <v>#N/A</v>
      </c>
      <c r="Y57" t="e">
        <f ca="1">VLOOKUP($S$31&amp;$G56,OFFSET(選手情報!$B$6:$H$119,AC56,0),5,FALSE)</f>
        <v>#N/A</v>
      </c>
      <c r="Z57" t="e">
        <f ca="1">VLOOKUP($S$31&amp;$G56,OFFSET(選手情報!$B$6:$H$119,AC56,0),7,FALSE)</f>
        <v>#N/A</v>
      </c>
      <c r="AA57" t="e">
        <f ca="1">VLOOKUP($S$31&amp;$G56,OFFSET(選手情報!$B$6:$P$119,AC56,0),15,FALSE)</f>
        <v>#N/A</v>
      </c>
      <c r="AB57" t="e">
        <f ca="1">VLOOKUP($S$31&amp;$G56,OFFSET(選手情報!$B$6:$T$119,AC56,0),19,FALSE)</f>
        <v>#N/A</v>
      </c>
      <c r="AC57" t="e">
        <f ca="1">VLOOKUP($S$31&amp;$G56,OFFSET(選手情報!$B$6:$BD$119,AC56,0),55,FALSE)</f>
        <v>#N/A</v>
      </c>
      <c r="AE57" t="e">
        <f ca="1">VLOOKUP($S$31&amp;$M56,OFFSET(選手情報!$B$6:$H$119,AI56,0),5,FALSE)</f>
        <v>#N/A</v>
      </c>
      <c r="AF57" t="e">
        <f ca="1">VLOOKUP($S$31&amp;$M56,OFFSET(選手情報!$B$6:$H$119,AI56,0),7,FALSE)</f>
        <v>#N/A</v>
      </c>
      <c r="AG57" t="e">
        <f ca="1">VLOOKUP($S$31&amp;$M56,OFFSET(選手情報!$B$6:$P$119,AI56,0),15,FALSE)</f>
        <v>#N/A</v>
      </c>
      <c r="AH57" t="e">
        <f ca="1">VLOOKUP($S$31&amp;$M56,OFFSET(選手情報!$B$6:$T$119,AI56,0),19,FALSE)</f>
        <v>#N/A</v>
      </c>
      <c r="AI57" t="e">
        <f ca="1">VLOOKUP($S$31&amp;$M56,OFFSET(選手情報!$B$6:$BD$119,AI56,0),55,FALSE)</f>
        <v>#N/A</v>
      </c>
    </row>
    <row r="58" spans="1:36" ht="21.95" customHeight="1" thickBot="1">
      <c r="A58" s="396"/>
      <c r="B58" s="417" t="str">
        <f>IF(学校情報!$A$4&lt;&gt;"","",IF(ISNA(S58),"",S58))</f>
        <v/>
      </c>
      <c r="C58" s="418"/>
      <c r="D58" s="41" t="str">
        <f>IF(学校情報!$A$4&lt;&gt;"","",IF(ISNA(T58),"",T58))</f>
        <v/>
      </c>
      <c r="E58" s="41" t="str">
        <f>IF(学校情報!$A$4&lt;&gt;"","",IF(ISNA(U58),"",U58))</f>
        <v/>
      </c>
      <c r="F58" s="42" t="str">
        <f>IF(学校情報!$A$4&lt;&gt;"","",IF(ISNA(V58),"",V58))</f>
        <v/>
      </c>
      <c r="G58" s="396"/>
      <c r="H58" s="417" t="str">
        <f>IF(学校情報!$A$4&lt;&gt;"","",IF(ISNA(Y58),"",Y58))</f>
        <v/>
      </c>
      <c r="I58" s="418"/>
      <c r="J58" s="41" t="str">
        <f>IF(学校情報!$A$4&lt;&gt;"","",IF(ISNA(Z58),"",Z58))</f>
        <v/>
      </c>
      <c r="K58" s="41" t="str">
        <f>IF(学校情報!$A$4&lt;&gt;"","",IF(ISNA(AA58),"",AA58))</f>
        <v/>
      </c>
      <c r="L58" s="43" t="str">
        <f>IF(学校情報!$A$4&lt;&gt;"","",IF(ISNA(AB58),"",AB58))</f>
        <v/>
      </c>
      <c r="M58" s="425"/>
      <c r="N58" s="426"/>
      <c r="O58" s="426"/>
      <c r="P58" s="426"/>
      <c r="Q58" s="426"/>
      <c r="R58" s="426"/>
      <c r="S58" t="e">
        <f ca="1">VLOOKUP($S$31&amp;$A56,OFFSET(選手情報!$B$6:$H$119,W57,0),5,FALSE)</f>
        <v>#N/A</v>
      </c>
      <c r="T58" t="e">
        <f ca="1">VLOOKUP($S$31&amp;$A56,OFFSET(選手情報!$B$6:$H$119,W57,0),7,FALSE)</f>
        <v>#N/A</v>
      </c>
      <c r="U58" t="e">
        <f ca="1">VLOOKUP($S$31&amp;$A56,OFFSET(選手情報!$B$6:$P$119,W57,0),15,FALSE)</f>
        <v>#N/A</v>
      </c>
      <c r="V58" t="e">
        <f ca="1">VLOOKUP($S$31&amp;$A56,OFFSET(選手情報!$B$6:$T$119,W57,0),19,FALSE)</f>
        <v>#N/A</v>
      </c>
      <c r="W58" t="e">
        <f ca="1">VLOOKUP($S$31&amp;$A56,OFFSET(選手情報!$B$6:$BD$119,W57,0),55,FALSE)</f>
        <v>#N/A</v>
      </c>
      <c r="Y58" t="e">
        <f ca="1">VLOOKUP($S$31&amp;$G56,OFFSET(選手情報!$B$6:$H$119,AC57,0),5,FALSE)</f>
        <v>#N/A</v>
      </c>
      <c r="Z58" t="e">
        <f ca="1">VLOOKUP($S$31&amp;$G56,OFFSET(選手情報!$B$6:$H$119,AC57,0),7,FALSE)</f>
        <v>#N/A</v>
      </c>
      <c r="AA58" t="e">
        <f ca="1">VLOOKUP($S$31&amp;$G56,OFFSET(選手情報!$B$6:$P$119,AC57,0),15,FALSE)</f>
        <v>#N/A</v>
      </c>
      <c r="AB58" t="e">
        <f ca="1">VLOOKUP($S$31&amp;$G56,OFFSET(選手情報!$B$6:$T$119,AC57,0),19,FALSE)</f>
        <v>#N/A</v>
      </c>
      <c r="AC58" t="e">
        <f ca="1">VLOOKUP($S$31&amp;$G56,OFFSET(選手情報!$B$6:$BD$119,AC57,0),55,FALSE)</f>
        <v>#N/A</v>
      </c>
      <c r="AE58" t="e">
        <f ca="1">VLOOKUP($S$31&amp;$M56,OFFSET(選手情報!$B$6:$H$119,AI57,0),5,FALSE)</f>
        <v>#N/A</v>
      </c>
      <c r="AF58" t="e">
        <f ca="1">VLOOKUP($S$31&amp;$M56,OFFSET(選手情報!$B$6:$H$119,AI57,0),7,FALSE)</f>
        <v>#N/A</v>
      </c>
      <c r="AG58" t="e">
        <f ca="1">VLOOKUP($S$31&amp;$M56,OFFSET(選手情報!$B$6:$P$119,AI57,0),15,FALSE)</f>
        <v>#N/A</v>
      </c>
      <c r="AH58" t="e">
        <f ca="1">VLOOKUP($S$31&amp;$M56,OFFSET(選手情報!$B$6:$T$119,AI57,0),19,FALSE)</f>
        <v>#N/A</v>
      </c>
      <c r="AI58" t="e">
        <f ca="1">VLOOKUP($S$31&amp;$M56,OFFSET(選手情報!$B$6:$BD$119,AI57,0),55,FALSE)</f>
        <v>#N/A</v>
      </c>
    </row>
  </sheetData>
  <sheetProtection password="E027" sheet="1" objects="1" scenarios="1" selectLockedCells="1"/>
  <mergeCells count="210">
    <mergeCell ref="N54:O54"/>
    <mergeCell ref="B55:C55"/>
    <mergeCell ref="H55:I55"/>
    <mergeCell ref="N55:O55"/>
    <mergeCell ref="K50:K55"/>
    <mergeCell ref="L50:L55"/>
    <mergeCell ref="H53:I53"/>
    <mergeCell ref="M53:M55"/>
    <mergeCell ref="A56:A58"/>
    <mergeCell ref="B56:C56"/>
    <mergeCell ref="G56:G58"/>
    <mergeCell ref="H56:I56"/>
    <mergeCell ref="M56:R58"/>
    <mergeCell ref="B57:C57"/>
    <mergeCell ref="H57:I57"/>
    <mergeCell ref="B58:C58"/>
    <mergeCell ref="H58:I58"/>
    <mergeCell ref="A50:A52"/>
    <mergeCell ref="B50:C50"/>
    <mergeCell ref="G50:G55"/>
    <mergeCell ref="H50:I50"/>
    <mergeCell ref="B51:C51"/>
    <mergeCell ref="H51:I51"/>
    <mergeCell ref="B52:C52"/>
    <mergeCell ref="N53:O53"/>
    <mergeCell ref="N48:O48"/>
    <mergeCell ref="B49:C49"/>
    <mergeCell ref="H49:I49"/>
    <mergeCell ref="N49:O49"/>
    <mergeCell ref="K44:K49"/>
    <mergeCell ref="L44:L49"/>
    <mergeCell ref="M44:M46"/>
    <mergeCell ref="N44:O44"/>
    <mergeCell ref="H47:I47"/>
    <mergeCell ref="M47:M49"/>
    <mergeCell ref="N47:O47"/>
    <mergeCell ref="M50:M52"/>
    <mergeCell ref="N50:O50"/>
    <mergeCell ref="N51:O51"/>
    <mergeCell ref="N52:O52"/>
    <mergeCell ref="H46:I46"/>
    <mergeCell ref="B47:C47"/>
    <mergeCell ref="N45:O45"/>
    <mergeCell ref="N46:O46"/>
    <mergeCell ref="A41:A43"/>
    <mergeCell ref="B41:C41"/>
    <mergeCell ref="G41:G43"/>
    <mergeCell ref="H41:I41"/>
    <mergeCell ref="H52:I52"/>
    <mergeCell ref="A53:A55"/>
    <mergeCell ref="B53:C53"/>
    <mergeCell ref="B54:C54"/>
    <mergeCell ref="H54:I54"/>
    <mergeCell ref="A47:A49"/>
    <mergeCell ref="A44:A46"/>
    <mergeCell ref="B44:C44"/>
    <mergeCell ref="G44:G49"/>
    <mergeCell ref="H44:I44"/>
    <mergeCell ref="B45:C45"/>
    <mergeCell ref="H45:I45"/>
    <mergeCell ref="B46:C46"/>
    <mergeCell ref="B48:C48"/>
    <mergeCell ref="H48:I48"/>
    <mergeCell ref="B42:C42"/>
    <mergeCell ref="H42:I42"/>
    <mergeCell ref="M38:M40"/>
    <mergeCell ref="N39:O39"/>
    <mergeCell ref="N40:O40"/>
    <mergeCell ref="N38:O38"/>
    <mergeCell ref="N42:O42"/>
    <mergeCell ref="M41:M43"/>
    <mergeCell ref="B43:C43"/>
    <mergeCell ref="H43:I43"/>
    <mergeCell ref="N43:O43"/>
    <mergeCell ref="N41:O41"/>
    <mergeCell ref="A38:A40"/>
    <mergeCell ref="B38:C38"/>
    <mergeCell ref="G38:G40"/>
    <mergeCell ref="H38:I38"/>
    <mergeCell ref="B34:C34"/>
    <mergeCell ref="H34:I34"/>
    <mergeCell ref="H36:I36"/>
    <mergeCell ref="B37:C37"/>
    <mergeCell ref="H37:I37"/>
    <mergeCell ref="B39:C39"/>
    <mergeCell ref="H39:I39"/>
    <mergeCell ref="B40:C40"/>
    <mergeCell ref="H40:I40"/>
    <mergeCell ref="A31:R31"/>
    <mergeCell ref="A32:A33"/>
    <mergeCell ref="B32:F33"/>
    <mergeCell ref="G32:I32"/>
    <mergeCell ref="M32:O32"/>
    <mergeCell ref="G33:I33"/>
    <mergeCell ref="M33:O33"/>
    <mergeCell ref="N34:O34"/>
    <mergeCell ref="A35:A37"/>
    <mergeCell ref="B35:C35"/>
    <mergeCell ref="G35:G37"/>
    <mergeCell ref="H35:I35"/>
    <mergeCell ref="M35:M37"/>
    <mergeCell ref="N35:O35"/>
    <mergeCell ref="B36:C36"/>
    <mergeCell ref="N36:O36"/>
    <mergeCell ref="N37:O37"/>
    <mergeCell ref="N25:O25"/>
    <mergeCell ref="B26:C26"/>
    <mergeCell ref="H26:I26"/>
    <mergeCell ref="N26:O26"/>
    <mergeCell ref="K21:K26"/>
    <mergeCell ref="L21:L26"/>
    <mergeCell ref="H24:I24"/>
    <mergeCell ref="M24:M26"/>
    <mergeCell ref="A27:A29"/>
    <mergeCell ref="B27:C27"/>
    <mergeCell ref="G27:G29"/>
    <mergeCell ref="H27:I27"/>
    <mergeCell ref="M27:R29"/>
    <mergeCell ref="B28:C28"/>
    <mergeCell ref="H28:I28"/>
    <mergeCell ref="B29:C29"/>
    <mergeCell ref="H29:I29"/>
    <mergeCell ref="A21:A23"/>
    <mergeCell ref="B21:C21"/>
    <mergeCell ref="G21:G26"/>
    <mergeCell ref="H21:I21"/>
    <mergeCell ref="B22:C22"/>
    <mergeCell ref="H22:I22"/>
    <mergeCell ref="B23:C23"/>
    <mergeCell ref="N24:O24"/>
    <mergeCell ref="N19:O19"/>
    <mergeCell ref="B20:C20"/>
    <mergeCell ref="H20:I20"/>
    <mergeCell ref="N20:O20"/>
    <mergeCell ref="K15:K20"/>
    <mergeCell ref="L15:L20"/>
    <mergeCell ref="M15:M17"/>
    <mergeCell ref="N15:O15"/>
    <mergeCell ref="H18:I18"/>
    <mergeCell ref="M18:M20"/>
    <mergeCell ref="N18:O18"/>
    <mergeCell ref="M21:M23"/>
    <mergeCell ref="N21:O21"/>
    <mergeCell ref="N22:O22"/>
    <mergeCell ref="N23:O23"/>
    <mergeCell ref="H17:I17"/>
    <mergeCell ref="B18:C18"/>
    <mergeCell ref="N16:O16"/>
    <mergeCell ref="N17:O17"/>
    <mergeCell ref="A12:A14"/>
    <mergeCell ref="B12:C12"/>
    <mergeCell ref="G12:G14"/>
    <mergeCell ref="H12:I12"/>
    <mergeCell ref="H23:I23"/>
    <mergeCell ref="A24:A26"/>
    <mergeCell ref="B24:C24"/>
    <mergeCell ref="B25:C25"/>
    <mergeCell ref="H25:I25"/>
    <mergeCell ref="A18:A20"/>
    <mergeCell ref="A15:A17"/>
    <mergeCell ref="B15:C15"/>
    <mergeCell ref="G15:G20"/>
    <mergeCell ref="H15:I15"/>
    <mergeCell ref="B16:C16"/>
    <mergeCell ref="H16:I16"/>
    <mergeCell ref="B17:C17"/>
    <mergeCell ref="B19:C19"/>
    <mergeCell ref="H19:I19"/>
    <mergeCell ref="B13:C13"/>
    <mergeCell ref="H13:I13"/>
    <mergeCell ref="M9:M11"/>
    <mergeCell ref="N10:O10"/>
    <mergeCell ref="N11:O11"/>
    <mergeCell ref="N9:O9"/>
    <mergeCell ref="N13:O13"/>
    <mergeCell ref="M12:M14"/>
    <mergeCell ref="B14:C14"/>
    <mergeCell ref="H14:I14"/>
    <mergeCell ref="N14:O14"/>
    <mergeCell ref="N12:O12"/>
    <mergeCell ref="A9:A11"/>
    <mergeCell ref="B9:C9"/>
    <mergeCell ref="G9:G11"/>
    <mergeCell ref="H9:I9"/>
    <mergeCell ref="B5:C5"/>
    <mergeCell ref="H5:I5"/>
    <mergeCell ref="H7:I7"/>
    <mergeCell ref="B8:C8"/>
    <mergeCell ref="H8:I8"/>
    <mergeCell ref="B10:C10"/>
    <mergeCell ref="H10:I10"/>
    <mergeCell ref="B11:C11"/>
    <mergeCell ref="H11:I11"/>
    <mergeCell ref="A2:R2"/>
    <mergeCell ref="A3:A4"/>
    <mergeCell ref="B3:F4"/>
    <mergeCell ref="G3:I3"/>
    <mergeCell ref="M3:O3"/>
    <mergeCell ref="G4:I4"/>
    <mergeCell ref="M4:O4"/>
    <mergeCell ref="N5:O5"/>
    <mergeCell ref="A6:A8"/>
    <mergeCell ref="B6:C6"/>
    <mergeCell ref="G6:G8"/>
    <mergeCell ref="H6:I6"/>
    <mergeCell ref="M6:M8"/>
    <mergeCell ref="N6:O6"/>
    <mergeCell ref="B7:C7"/>
    <mergeCell ref="N7:O7"/>
    <mergeCell ref="N8:O8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4"/>
  <sheetViews>
    <sheetView topLeftCell="A1699" workbookViewId="0">
      <selection activeCell="I1732" sqref="I1732"/>
    </sheetView>
  </sheetViews>
  <sheetFormatPr defaultRowHeight="13.5"/>
  <cols>
    <col min="1" max="1" width="15.75" customWidth="1"/>
    <col min="2" max="7" width="9" style="147"/>
    <col min="8" max="8" width="16.125" style="101" bestFit="1" customWidth="1"/>
    <col min="9" max="9" width="9" style="147"/>
    <col min="10" max="10" width="16.125" style="147" bestFit="1" customWidth="1"/>
    <col min="11" max="13" width="9" style="101"/>
  </cols>
  <sheetData>
    <row r="1" spans="1:13">
      <c r="B1" s="148" t="s">
        <v>312</v>
      </c>
      <c r="C1" s="148" t="s">
        <v>14</v>
      </c>
      <c r="D1" s="148" t="s">
        <v>15</v>
      </c>
      <c r="E1" s="148" t="s">
        <v>313</v>
      </c>
      <c r="F1" s="147" t="s">
        <v>17</v>
      </c>
      <c r="G1" s="147" t="s">
        <v>142</v>
      </c>
      <c r="H1" s="101" t="s">
        <v>163</v>
      </c>
      <c r="I1" s="147" t="s">
        <v>23</v>
      </c>
    </row>
    <row r="2" spans="1:13">
      <c r="A2" t="str">
        <f t="shared" ref="A2:A65" si="0">B2&amp;C2&amp;G2</f>
        <v>松江工業高等専門学校2001男</v>
      </c>
      <c r="B2" s="149" t="s">
        <v>950</v>
      </c>
      <c r="C2" s="149">
        <v>2001</v>
      </c>
      <c r="D2" s="149" t="s">
        <v>951</v>
      </c>
      <c r="E2" s="149" t="s">
        <v>952</v>
      </c>
      <c r="F2" s="149" t="s">
        <v>293</v>
      </c>
      <c r="G2" s="149" t="s">
        <v>143</v>
      </c>
      <c r="H2" s="151" t="str">
        <f>"19"&amp;K2&amp;"/"&amp;L2&amp;"/"&amp;M2</f>
        <v>1995/04/18</v>
      </c>
      <c r="I2" s="149" t="s">
        <v>301</v>
      </c>
      <c r="J2" s="149" t="s">
        <v>3632</v>
      </c>
      <c r="K2" s="101" t="str">
        <f>MID(J2,1,2)</f>
        <v>95</v>
      </c>
      <c r="L2" s="101" t="str">
        <f>MID(J2,3,2)</f>
        <v>04</v>
      </c>
      <c r="M2" s="101" t="str">
        <f>MID(J2,5,2)</f>
        <v>18</v>
      </c>
    </row>
    <row r="3" spans="1:13">
      <c r="A3" t="str">
        <f t="shared" si="0"/>
        <v>松江工業高等専門学校2002男</v>
      </c>
      <c r="B3" s="149" t="s">
        <v>950</v>
      </c>
      <c r="C3" s="149">
        <v>2002</v>
      </c>
      <c r="D3" s="149" t="s">
        <v>953</v>
      </c>
      <c r="E3" s="149" t="s">
        <v>954</v>
      </c>
      <c r="F3" s="149" t="s">
        <v>293</v>
      </c>
      <c r="G3" s="149" t="s">
        <v>143</v>
      </c>
      <c r="H3" s="151" t="str">
        <f t="shared" ref="H3:H66" si="1">"19"&amp;K3&amp;"/"&amp;L3&amp;"/"&amp;M3</f>
        <v>1995/04/30</v>
      </c>
      <c r="I3" s="149" t="s">
        <v>301</v>
      </c>
      <c r="J3" s="149" t="s">
        <v>410</v>
      </c>
      <c r="K3" s="101" t="str">
        <f t="shared" ref="K3:K66" si="2">MID(J3,1,2)</f>
        <v>95</v>
      </c>
      <c r="L3" s="101" t="str">
        <f t="shared" ref="L3:L66" si="3">MID(J3,3,2)</f>
        <v>04</v>
      </c>
      <c r="M3" s="101" t="str">
        <f t="shared" ref="M3:M66" si="4">MID(J3,5,2)</f>
        <v>30</v>
      </c>
    </row>
    <row r="4" spans="1:13">
      <c r="A4" t="str">
        <f t="shared" si="0"/>
        <v>松江工業高等専門学校2003男</v>
      </c>
      <c r="B4" s="149" t="s">
        <v>950</v>
      </c>
      <c r="C4" s="149">
        <v>2003</v>
      </c>
      <c r="D4" s="149" t="s">
        <v>955</v>
      </c>
      <c r="E4" s="149" t="s">
        <v>956</v>
      </c>
      <c r="F4" s="149" t="s">
        <v>293</v>
      </c>
      <c r="G4" s="149" t="s">
        <v>143</v>
      </c>
      <c r="H4" s="151" t="str">
        <f t="shared" si="1"/>
        <v>1995/10/20</v>
      </c>
      <c r="I4" s="149" t="s">
        <v>301</v>
      </c>
      <c r="J4" s="149" t="s">
        <v>3633</v>
      </c>
      <c r="K4" s="101" t="str">
        <f t="shared" si="2"/>
        <v>95</v>
      </c>
      <c r="L4" s="101" t="str">
        <f t="shared" si="3"/>
        <v>10</v>
      </c>
      <c r="M4" s="101" t="str">
        <f t="shared" si="4"/>
        <v>20</v>
      </c>
    </row>
    <row r="5" spans="1:13">
      <c r="A5" t="str">
        <f t="shared" si="0"/>
        <v>松江工業高等専門学校2004男</v>
      </c>
      <c r="B5" s="149" t="s">
        <v>950</v>
      </c>
      <c r="C5" s="149">
        <v>2004</v>
      </c>
      <c r="D5" s="149" t="s">
        <v>957</v>
      </c>
      <c r="E5" s="149" t="s">
        <v>958</v>
      </c>
      <c r="F5" s="149" t="s">
        <v>260</v>
      </c>
      <c r="G5" s="149" t="s">
        <v>143</v>
      </c>
      <c r="H5" s="151" t="str">
        <f t="shared" si="1"/>
        <v>1996/10/21</v>
      </c>
      <c r="I5" s="149" t="s">
        <v>301</v>
      </c>
      <c r="J5" s="149" t="s">
        <v>803</v>
      </c>
      <c r="K5" s="101" t="str">
        <f t="shared" si="2"/>
        <v>96</v>
      </c>
      <c r="L5" s="101" t="str">
        <f t="shared" si="3"/>
        <v>10</v>
      </c>
      <c r="M5" s="101" t="str">
        <f t="shared" si="4"/>
        <v>21</v>
      </c>
    </row>
    <row r="6" spans="1:13">
      <c r="A6" t="str">
        <f t="shared" si="0"/>
        <v>松江工業高等専門学校2005男</v>
      </c>
      <c r="B6" s="149" t="s">
        <v>950</v>
      </c>
      <c r="C6" s="149">
        <v>2005</v>
      </c>
      <c r="D6" s="149" t="s">
        <v>959</v>
      </c>
      <c r="E6" s="149" t="s">
        <v>960</v>
      </c>
      <c r="F6" s="149" t="s">
        <v>260</v>
      </c>
      <c r="G6" s="149" t="s">
        <v>143</v>
      </c>
      <c r="H6" s="151" t="str">
        <f t="shared" si="1"/>
        <v>1997/01/16</v>
      </c>
      <c r="I6" s="149" t="s">
        <v>301</v>
      </c>
      <c r="J6" s="149" t="s">
        <v>3634</v>
      </c>
      <c r="K6" s="101" t="str">
        <f t="shared" si="2"/>
        <v>97</v>
      </c>
      <c r="L6" s="101" t="str">
        <f t="shared" si="3"/>
        <v>01</v>
      </c>
      <c r="M6" s="101" t="str">
        <f t="shared" si="4"/>
        <v>16</v>
      </c>
    </row>
    <row r="7" spans="1:13">
      <c r="A7" t="str">
        <f t="shared" si="0"/>
        <v>松江工業高等専門学校2006男</v>
      </c>
      <c r="B7" s="149" t="s">
        <v>950</v>
      </c>
      <c r="C7" s="149">
        <v>2006</v>
      </c>
      <c r="D7" s="149" t="s">
        <v>961</v>
      </c>
      <c r="E7" s="149" t="s">
        <v>962</v>
      </c>
      <c r="F7" s="149" t="s">
        <v>260</v>
      </c>
      <c r="G7" s="149" t="s">
        <v>143</v>
      </c>
      <c r="H7" s="151" t="str">
        <f t="shared" si="1"/>
        <v>1996/04/29</v>
      </c>
      <c r="I7" s="149" t="s">
        <v>301</v>
      </c>
      <c r="J7" s="149" t="s">
        <v>742</v>
      </c>
      <c r="K7" s="101" t="str">
        <f t="shared" si="2"/>
        <v>96</v>
      </c>
      <c r="L7" s="101" t="str">
        <f t="shared" si="3"/>
        <v>04</v>
      </c>
      <c r="M7" s="101" t="str">
        <f t="shared" si="4"/>
        <v>29</v>
      </c>
    </row>
    <row r="8" spans="1:13">
      <c r="A8" t="str">
        <f t="shared" si="0"/>
        <v>松江工業高等専門学校2007男</v>
      </c>
      <c r="B8" s="149" t="s">
        <v>950</v>
      </c>
      <c r="C8" s="149">
        <v>2007</v>
      </c>
      <c r="D8" s="149" t="s">
        <v>963</v>
      </c>
      <c r="E8" s="149" t="s">
        <v>964</v>
      </c>
      <c r="F8" s="149" t="s">
        <v>260</v>
      </c>
      <c r="G8" s="149" t="s">
        <v>143</v>
      </c>
      <c r="H8" s="151" t="str">
        <f t="shared" si="1"/>
        <v>1996/11/10</v>
      </c>
      <c r="I8" s="149" t="s">
        <v>301</v>
      </c>
      <c r="J8" s="149" t="s">
        <v>706</v>
      </c>
      <c r="K8" s="101" t="str">
        <f t="shared" si="2"/>
        <v>96</v>
      </c>
      <c r="L8" s="101" t="str">
        <f t="shared" si="3"/>
        <v>11</v>
      </c>
      <c r="M8" s="101" t="str">
        <f t="shared" si="4"/>
        <v>10</v>
      </c>
    </row>
    <row r="9" spans="1:13">
      <c r="A9" t="str">
        <f t="shared" si="0"/>
        <v>松江工業高等専門学校2008男</v>
      </c>
      <c r="B9" s="149" t="s">
        <v>950</v>
      </c>
      <c r="C9" s="149">
        <v>2008</v>
      </c>
      <c r="D9" s="149" t="s">
        <v>965</v>
      </c>
      <c r="E9" s="149" t="s">
        <v>298</v>
      </c>
      <c r="F9" s="149" t="s">
        <v>260</v>
      </c>
      <c r="G9" s="149" t="s">
        <v>143</v>
      </c>
      <c r="H9" s="151" t="str">
        <f t="shared" si="1"/>
        <v>1996/07/02</v>
      </c>
      <c r="I9" s="149" t="s">
        <v>301</v>
      </c>
      <c r="J9" s="149" t="s">
        <v>775</v>
      </c>
      <c r="K9" s="101" t="str">
        <f t="shared" si="2"/>
        <v>96</v>
      </c>
      <c r="L9" s="101" t="str">
        <f t="shared" si="3"/>
        <v>07</v>
      </c>
      <c r="M9" s="101" t="str">
        <f t="shared" si="4"/>
        <v>02</v>
      </c>
    </row>
    <row r="10" spans="1:13">
      <c r="A10" t="str">
        <f t="shared" si="0"/>
        <v>徳島文理大学2009男</v>
      </c>
      <c r="B10" s="149" t="s">
        <v>966</v>
      </c>
      <c r="C10" s="149">
        <v>2009</v>
      </c>
      <c r="D10" s="149" t="s">
        <v>967</v>
      </c>
      <c r="E10" s="149" t="s">
        <v>968</v>
      </c>
      <c r="F10" s="149" t="s">
        <v>264</v>
      </c>
      <c r="G10" s="149" t="s">
        <v>143</v>
      </c>
      <c r="H10" s="151" t="str">
        <f t="shared" si="1"/>
        <v>1992/10/18</v>
      </c>
      <c r="I10" s="149" t="s">
        <v>289</v>
      </c>
      <c r="J10" s="149" t="s">
        <v>3635</v>
      </c>
      <c r="K10" s="101" t="str">
        <f t="shared" si="2"/>
        <v>92</v>
      </c>
      <c r="L10" s="101" t="str">
        <f t="shared" si="3"/>
        <v>10</v>
      </c>
      <c r="M10" s="101" t="str">
        <f t="shared" si="4"/>
        <v>18</v>
      </c>
    </row>
    <row r="11" spans="1:13">
      <c r="A11" t="str">
        <f t="shared" si="0"/>
        <v>徳島文理大学2010男</v>
      </c>
      <c r="B11" s="149" t="s">
        <v>966</v>
      </c>
      <c r="C11" s="149">
        <v>2010</v>
      </c>
      <c r="D11" s="149" t="s">
        <v>969</v>
      </c>
      <c r="E11" s="149" t="s">
        <v>970</v>
      </c>
      <c r="F11" s="149" t="s">
        <v>260</v>
      </c>
      <c r="G11" s="149" t="s">
        <v>143</v>
      </c>
      <c r="H11" s="151" t="str">
        <f t="shared" si="1"/>
        <v>1993/07/19</v>
      </c>
      <c r="I11" s="149" t="s">
        <v>276</v>
      </c>
      <c r="J11" s="149" t="s">
        <v>666</v>
      </c>
      <c r="K11" s="101" t="str">
        <f t="shared" si="2"/>
        <v>93</v>
      </c>
      <c r="L11" s="101" t="str">
        <f t="shared" si="3"/>
        <v>07</v>
      </c>
      <c r="M11" s="101" t="str">
        <f t="shared" si="4"/>
        <v>19</v>
      </c>
    </row>
    <row r="12" spans="1:13">
      <c r="A12" t="str">
        <f t="shared" si="0"/>
        <v>徳島文理大学2011男</v>
      </c>
      <c r="B12" s="149" t="s">
        <v>966</v>
      </c>
      <c r="C12" s="149">
        <v>2011</v>
      </c>
      <c r="D12" s="149" t="s">
        <v>971</v>
      </c>
      <c r="E12" s="149" t="s">
        <v>972</v>
      </c>
      <c r="F12" s="149" t="s">
        <v>265</v>
      </c>
      <c r="G12" s="149" t="s">
        <v>143</v>
      </c>
      <c r="H12" s="151" t="str">
        <f t="shared" si="1"/>
        <v>1994/07/25</v>
      </c>
      <c r="I12" s="149" t="s">
        <v>276</v>
      </c>
      <c r="J12" s="149" t="s">
        <v>3636</v>
      </c>
      <c r="K12" s="101" t="str">
        <f t="shared" si="2"/>
        <v>94</v>
      </c>
      <c r="L12" s="101" t="str">
        <f t="shared" si="3"/>
        <v>07</v>
      </c>
      <c r="M12" s="101" t="str">
        <f t="shared" si="4"/>
        <v>25</v>
      </c>
    </row>
    <row r="13" spans="1:13">
      <c r="A13" t="str">
        <f t="shared" si="0"/>
        <v>徳島文理大学2012男</v>
      </c>
      <c r="B13" s="149" t="s">
        <v>966</v>
      </c>
      <c r="C13" s="149">
        <v>2012</v>
      </c>
      <c r="D13" s="149" t="s">
        <v>973</v>
      </c>
      <c r="E13" s="149" t="s">
        <v>974</v>
      </c>
      <c r="F13" s="149" t="s">
        <v>267</v>
      </c>
      <c r="G13" s="149" t="s">
        <v>143</v>
      </c>
      <c r="H13" s="151" t="str">
        <f t="shared" si="1"/>
        <v>1996/02/26</v>
      </c>
      <c r="I13" s="149" t="s">
        <v>289</v>
      </c>
      <c r="J13" s="149" t="s">
        <v>3637</v>
      </c>
      <c r="K13" s="101" t="str">
        <f t="shared" si="2"/>
        <v>96</v>
      </c>
      <c r="L13" s="101" t="str">
        <f t="shared" si="3"/>
        <v>02</v>
      </c>
      <c r="M13" s="101" t="str">
        <f t="shared" si="4"/>
        <v>26</v>
      </c>
    </row>
    <row r="14" spans="1:13">
      <c r="A14" t="str">
        <f t="shared" si="0"/>
        <v>徳島文理大学2013男</v>
      </c>
      <c r="B14" s="149" t="s">
        <v>966</v>
      </c>
      <c r="C14" s="149">
        <v>2013</v>
      </c>
      <c r="D14" s="149" t="s">
        <v>975</v>
      </c>
      <c r="E14" s="149" t="s">
        <v>976</v>
      </c>
      <c r="F14" s="149" t="s">
        <v>267</v>
      </c>
      <c r="G14" s="149" t="s">
        <v>143</v>
      </c>
      <c r="H14" s="151" t="str">
        <f t="shared" si="1"/>
        <v>1995/07/14</v>
      </c>
      <c r="I14" s="149" t="s">
        <v>289</v>
      </c>
      <c r="J14" s="149" t="s">
        <v>3638</v>
      </c>
      <c r="K14" s="101" t="str">
        <f t="shared" si="2"/>
        <v>95</v>
      </c>
      <c r="L14" s="101" t="str">
        <f t="shared" si="3"/>
        <v>07</v>
      </c>
      <c r="M14" s="101" t="str">
        <f t="shared" si="4"/>
        <v>14</v>
      </c>
    </row>
    <row r="15" spans="1:13">
      <c r="A15" t="str">
        <f t="shared" si="0"/>
        <v>広島市立大学2014男</v>
      </c>
      <c r="B15" s="149" t="s">
        <v>977</v>
      </c>
      <c r="C15" s="149">
        <v>2014</v>
      </c>
      <c r="D15" s="149" t="s">
        <v>978</v>
      </c>
      <c r="E15" s="149" t="s">
        <v>979</v>
      </c>
      <c r="F15" s="149" t="s">
        <v>262</v>
      </c>
      <c r="G15" s="149" t="s">
        <v>143</v>
      </c>
      <c r="H15" s="151" t="str">
        <f t="shared" si="1"/>
        <v>1991/10/08</v>
      </c>
      <c r="I15" s="149" t="s">
        <v>295</v>
      </c>
      <c r="J15" s="149" t="s">
        <v>3639</v>
      </c>
      <c r="K15" s="101" t="str">
        <f t="shared" si="2"/>
        <v>91</v>
      </c>
      <c r="L15" s="101" t="str">
        <f t="shared" si="3"/>
        <v>10</v>
      </c>
      <c r="M15" s="101" t="str">
        <f t="shared" si="4"/>
        <v>08</v>
      </c>
    </row>
    <row r="16" spans="1:13">
      <c r="A16" t="str">
        <f t="shared" si="0"/>
        <v>広島市立大学2015男</v>
      </c>
      <c r="B16" s="149" t="s">
        <v>977</v>
      </c>
      <c r="C16" s="149">
        <v>2015</v>
      </c>
      <c r="D16" s="149" t="s">
        <v>980</v>
      </c>
      <c r="E16" s="149" t="s">
        <v>981</v>
      </c>
      <c r="F16" s="149" t="s">
        <v>264</v>
      </c>
      <c r="G16" s="149" t="s">
        <v>143</v>
      </c>
      <c r="H16" s="151" t="str">
        <f t="shared" si="1"/>
        <v>1992/07/31</v>
      </c>
      <c r="I16" s="149" t="s">
        <v>295</v>
      </c>
      <c r="J16" s="149" t="s">
        <v>3640</v>
      </c>
      <c r="K16" s="101" t="str">
        <f t="shared" si="2"/>
        <v>92</v>
      </c>
      <c r="L16" s="101" t="str">
        <f t="shared" si="3"/>
        <v>07</v>
      </c>
      <c r="M16" s="101" t="str">
        <f t="shared" si="4"/>
        <v>31</v>
      </c>
    </row>
    <row r="17" spans="1:13">
      <c r="A17" t="str">
        <f t="shared" si="0"/>
        <v>広島市立大学2016男</v>
      </c>
      <c r="B17" s="149" t="s">
        <v>977</v>
      </c>
      <c r="C17" s="149">
        <v>2016</v>
      </c>
      <c r="D17" s="149" t="s">
        <v>982</v>
      </c>
      <c r="E17" s="149" t="s">
        <v>983</v>
      </c>
      <c r="F17" s="149" t="s">
        <v>260</v>
      </c>
      <c r="G17" s="149" t="s">
        <v>143</v>
      </c>
      <c r="H17" s="151" t="str">
        <f t="shared" si="1"/>
        <v>1993/01/28</v>
      </c>
      <c r="I17" s="149" t="s">
        <v>295</v>
      </c>
      <c r="J17" s="149" t="s">
        <v>3641</v>
      </c>
      <c r="K17" s="101" t="str">
        <f t="shared" si="2"/>
        <v>93</v>
      </c>
      <c r="L17" s="101" t="str">
        <f t="shared" si="3"/>
        <v>01</v>
      </c>
      <c r="M17" s="101" t="str">
        <f t="shared" si="4"/>
        <v>28</v>
      </c>
    </row>
    <row r="18" spans="1:13">
      <c r="A18" t="str">
        <f t="shared" si="0"/>
        <v>広島市立大学2017男</v>
      </c>
      <c r="B18" s="149" t="s">
        <v>977</v>
      </c>
      <c r="C18" s="149">
        <v>2017</v>
      </c>
      <c r="D18" s="149" t="s">
        <v>984</v>
      </c>
      <c r="E18" s="149" t="s">
        <v>985</v>
      </c>
      <c r="F18" s="149" t="s">
        <v>265</v>
      </c>
      <c r="G18" s="149" t="s">
        <v>143</v>
      </c>
      <c r="H18" s="151" t="str">
        <f t="shared" si="1"/>
        <v>1994/11/02</v>
      </c>
      <c r="I18" s="149" t="s">
        <v>295</v>
      </c>
      <c r="J18" s="149" t="s">
        <v>479</v>
      </c>
      <c r="K18" s="101" t="str">
        <f t="shared" si="2"/>
        <v>94</v>
      </c>
      <c r="L18" s="101" t="str">
        <f t="shared" si="3"/>
        <v>11</v>
      </c>
      <c r="M18" s="101" t="str">
        <f t="shared" si="4"/>
        <v>02</v>
      </c>
    </row>
    <row r="19" spans="1:13">
      <c r="A19" t="str">
        <f t="shared" si="0"/>
        <v>広島市立大学2018男</v>
      </c>
      <c r="B19" s="149" t="s">
        <v>977</v>
      </c>
      <c r="C19" s="149">
        <v>2018</v>
      </c>
      <c r="D19" s="149" t="s">
        <v>986</v>
      </c>
      <c r="E19" s="149" t="s">
        <v>987</v>
      </c>
      <c r="F19" s="149" t="s">
        <v>265</v>
      </c>
      <c r="G19" s="149" t="s">
        <v>143</v>
      </c>
      <c r="H19" s="151" t="str">
        <f t="shared" si="1"/>
        <v>1994/08/29</v>
      </c>
      <c r="I19" s="149" t="s">
        <v>295</v>
      </c>
      <c r="J19" s="149" t="s">
        <v>442</v>
      </c>
      <c r="K19" s="101" t="str">
        <f t="shared" si="2"/>
        <v>94</v>
      </c>
      <c r="L19" s="101" t="str">
        <f t="shared" si="3"/>
        <v>08</v>
      </c>
      <c r="M19" s="101" t="str">
        <f t="shared" si="4"/>
        <v>29</v>
      </c>
    </row>
    <row r="20" spans="1:13">
      <c r="A20" t="str">
        <f t="shared" si="0"/>
        <v>広島市立大学2019男</v>
      </c>
      <c r="B20" s="149" t="s">
        <v>977</v>
      </c>
      <c r="C20" s="149">
        <v>2019</v>
      </c>
      <c r="D20" s="149" t="s">
        <v>988</v>
      </c>
      <c r="E20" s="149" t="s">
        <v>989</v>
      </c>
      <c r="F20" s="149" t="s">
        <v>265</v>
      </c>
      <c r="G20" s="149" t="s">
        <v>143</v>
      </c>
      <c r="H20" s="151" t="str">
        <f t="shared" si="1"/>
        <v>1994/06/09</v>
      </c>
      <c r="I20" s="149" t="s">
        <v>295</v>
      </c>
      <c r="J20" s="149" t="s">
        <v>3642</v>
      </c>
      <c r="K20" s="101" t="str">
        <f t="shared" si="2"/>
        <v>94</v>
      </c>
      <c r="L20" s="101" t="str">
        <f t="shared" si="3"/>
        <v>06</v>
      </c>
      <c r="M20" s="101" t="str">
        <f t="shared" si="4"/>
        <v>09</v>
      </c>
    </row>
    <row r="21" spans="1:13">
      <c r="A21" t="str">
        <f t="shared" si="0"/>
        <v>広島市立大学2020男</v>
      </c>
      <c r="B21" s="149" t="s">
        <v>977</v>
      </c>
      <c r="C21" s="149">
        <v>2020</v>
      </c>
      <c r="D21" s="149" t="s">
        <v>990</v>
      </c>
      <c r="E21" s="149" t="s">
        <v>991</v>
      </c>
      <c r="F21" s="149" t="s">
        <v>265</v>
      </c>
      <c r="G21" s="149" t="s">
        <v>143</v>
      </c>
      <c r="H21" s="151" t="str">
        <f t="shared" si="1"/>
        <v>1994/11/26</v>
      </c>
      <c r="I21" s="149" t="s">
        <v>295</v>
      </c>
      <c r="J21" s="149" t="s">
        <v>640</v>
      </c>
      <c r="K21" s="101" t="str">
        <f t="shared" si="2"/>
        <v>94</v>
      </c>
      <c r="L21" s="101" t="str">
        <f t="shared" si="3"/>
        <v>11</v>
      </c>
      <c r="M21" s="101" t="str">
        <f t="shared" si="4"/>
        <v>26</v>
      </c>
    </row>
    <row r="22" spans="1:13">
      <c r="A22" t="str">
        <f t="shared" si="0"/>
        <v>広島市立大学2021男</v>
      </c>
      <c r="B22" s="149" t="s">
        <v>977</v>
      </c>
      <c r="C22" s="149">
        <v>2021</v>
      </c>
      <c r="D22" s="149" t="s">
        <v>992</v>
      </c>
      <c r="E22" s="149" t="s">
        <v>993</v>
      </c>
      <c r="F22" s="149" t="s">
        <v>265</v>
      </c>
      <c r="G22" s="149" t="s">
        <v>143</v>
      </c>
      <c r="H22" s="151" t="str">
        <f t="shared" si="1"/>
        <v>1994/11/26</v>
      </c>
      <c r="I22" s="149" t="s">
        <v>295</v>
      </c>
      <c r="J22" s="149" t="s">
        <v>640</v>
      </c>
      <c r="K22" s="101" t="str">
        <f t="shared" si="2"/>
        <v>94</v>
      </c>
      <c r="L22" s="101" t="str">
        <f t="shared" si="3"/>
        <v>11</v>
      </c>
      <c r="M22" s="101" t="str">
        <f t="shared" si="4"/>
        <v>26</v>
      </c>
    </row>
    <row r="23" spans="1:13">
      <c r="A23" t="str">
        <f t="shared" si="0"/>
        <v>広島市立大学2022男</v>
      </c>
      <c r="B23" s="149" t="s">
        <v>977</v>
      </c>
      <c r="C23" s="149">
        <v>2022</v>
      </c>
      <c r="D23" s="149" t="s">
        <v>994</v>
      </c>
      <c r="E23" s="149" t="s">
        <v>995</v>
      </c>
      <c r="F23" s="149" t="s">
        <v>265</v>
      </c>
      <c r="G23" s="149" t="s">
        <v>143</v>
      </c>
      <c r="H23" s="151" t="str">
        <f t="shared" si="1"/>
        <v>1994/07/17</v>
      </c>
      <c r="I23" s="149" t="s">
        <v>269</v>
      </c>
      <c r="J23" s="149" t="s">
        <v>3643</v>
      </c>
      <c r="K23" s="101" t="str">
        <f t="shared" si="2"/>
        <v>94</v>
      </c>
      <c r="L23" s="101" t="str">
        <f t="shared" si="3"/>
        <v>07</v>
      </c>
      <c r="M23" s="101" t="str">
        <f t="shared" si="4"/>
        <v>17</v>
      </c>
    </row>
    <row r="24" spans="1:13">
      <c r="A24" t="str">
        <f t="shared" si="0"/>
        <v>広島市立大学2023男</v>
      </c>
      <c r="B24" s="149" t="s">
        <v>977</v>
      </c>
      <c r="C24" s="149">
        <v>2023</v>
      </c>
      <c r="D24" s="149" t="s">
        <v>996</v>
      </c>
      <c r="E24" s="149" t="s">
        <v>997</v>
      </c>
      <c r="F24" s="149" t="s">
        <v>267</v>
      </c>
      <c r="G24" s="149" t="s">
        <v>143</v>
      </c>
      <c r="H24" s="151" t="str">
        <f t="shared" si="1"/>
        <v>1996/03/30</v>
      </c>
      <c r="I24" s="149" t="s">
        <v>301</v>
      </c>
      <c r="J24" s="149" t="s">
        <v>3644</v>
      </c>
      <c r="K24" s="101" t="str">
        <f t="shared" si="2"/>
        <v>96</v>
      </c>
      <c r="L24" s="101" t="str">
        <f t="shared" si="3"/>
        <v>03</v>
      </c>
      <c r="M24" s="101" t="str">
        <f t="shared" si="4"/>
        <v>30</v>
      </c>
    </row>
    <row r="25" spans="1:13">
      <c r="A25" t="str">
        <f t="shared" si="0"/>
        <v>広島市立大学2024男</v>
      </c>
      <c r="B25" s="149" t="s">
        <v>977</v>
      </c>
      <c r="C25" s="149">
        <v>2024</v>
      </c>
      <c r="D25" s="149" t="s">
        <v>998</v>
      </c>
      <c r="E25" s="149" t="s">
        <v>999</v>
      </c>
      <c r="F25" s="149" t="s">
        <v>267</v>
      </c>
      <c r="G25" s="149" t="s">
        <v>143</v>
      </c>
      <c r="H25" s="151" t="str">
        <f t="shared" si="1"/>
        <v>1995/07/07</v>
      </c>
      <c r="I25" s="149" t="s">
        <v>269</v>
      </c>
      <c r="J25" s="149" t="s">
        <v>3645</v>
      </c>
      <c r="K25" s="101" t="str">
        <f t="shared" si="2"/>
        <v>95</v>
      </c>
      <c r="L25" s="101" t="str">
        <f t="shared" si="3"/>
        <v>07</v>
      </c>
      <c r="M25" s="101" t="str">
        <f t="shared" si="4"/>
        <v>07</v>
      </c>
    </row>
    <row r="26" spans="1:13">
      <c r="A26" t="str">
        <f t="shared" si="0"/>
        <v>広島市立大学2025男</v>
      </c>
      <c r="B26" s="149" t="s">
        <v>977</v>
      </c>
      <c r="C26" s="149">
        <v>2025</v>
      </c>
      <c r="D26" s="149" t="s">
        <v>1000</v>
      </c>
      <c r="E26" s="149" t="s">
        <v>1001</v>
      </c>
      <c r="F26" s="149" t="s">
        <v>267</v>
      </c>
      <c r="G26" s="149" t="s">
        <v>143</v>
      </c>
      <c r="H26" s="151" t="str">
        <f t="shared" si="1"/>
        <v>1995/04/09</v>
      </c>
      <c r="I26" s="149" t="s">
        <v>295</v>
      </c>
      <c r="J26" s="149" t="s">
        <v>352</v>
      </c>
      <c r="K26" s="101" t="str">
        <f t="shared" si="2"/>
        <v>95</v>
      </c>
      <c r="L26" s="101" t="str">
        <f t="shared" si="3"/>
        <v>04</v>
      </c>
      <c r="M26" s="101" t="str">
        <f t="shared" si="4"/>
        <v>09</v>
      </c>
    </row>
    <row r="27" spans="1:13">
      <c r="A27" t="str">
        <f t="shared" si="0"/>
        <v>川崎医科大学2026男</v>
      </c>
      <c r="B27" s="149" t="s">
        <v>1002</v>
      </c>
      <c r="C27" s="149">
        <v>2026</v>
      </c>
      <c r="D27" s="149" t="s">
        <v>1003</v>
      </c>
      <c r="E27" s="149" t="s">
        <v>1004</v>
      </c>
      <c r="F27" s="149" t="s">
        <v>279</v>
      </c>
      <c r="G27" s="149" t="s">
        <v>143</v>
      </c>
      <c r="H27" s="151" t="str">
        <f t="shared" si="1"/>
        <v>1989/11/05</v>
      </c>
      <c r="I27" s="149" t="s">
        <v>299</v>
      </c>
      <c r="J27" s="149" t="s">
        <v>3646</v>
      </c>
      <c r="K27" s="101" t="str">
        <f t="shared" si="2"/>
        <v>89</v>
      </c>
      <c r="L27" s="101" t="str">
        <f t="shared" si="3"/>
        <v>11</v>
      </c>
      <c r="M27" s="101" t="str">
        <f t="shared" si="4"/>
        <v>05</v>
      </c>
    </row>
    <row r="28" spans="1:13">
      <c r="A28" t="str">
        <f t="shared" si="0"/>
        <v>川崎医科大学2027男</v>
      </c>
      <c r="B28" s="149" t="s">
        <v>1002</v>
      </c>
      <c r="C28" s="149">
        <v>2027</v>
      </c>
      <c r="D28" s="149" t="s">
        <v>1005</v>
      </c>
      <c r="E28" s="149" t="s">
        <v>1006</v>
      </c>
      <c r="F28" s="149" t="s">
        <v>293</v>
      </c>
      <c r="G28" s="149" t="s">
        <v>143</v>
      </c>
      <c r="H28" s="151" t="str">
        <f t="shared" si="1"/>
        <v>1991/02/08</v>
      </c>
      <c r="I28" s="149" t="s">
        <v>299</v>
      </c>
      <c r="J28" s="149" t="s">
        <v>3647</v>
      </c>
      <c r="K28" s="101" t="str">
        <f t="shared" si="2"/>
        <v>91</v>
      </c>
      <c r="L28" s="101" t="str">
        <f t="shared" si="3"/>
        <v>02</v>
      </c>
      <c r="M28" s="101" t="str">
        <f t="shared" si="4"/>
        <v>08</v>
      </c>
    </row>
    <row r="29" spans="1:13">
      <c r="A29" t="str">
        <f t="shared" si="0"/>
        <v>川崎医科大学2028男</v>
      </c>
      <c r="B29" s="149" t="s">
        <v>1002</v>
      </c>
      <c r="C29" s="149">
        <v>2028</v>
      </c>
      <c r="D29" s="149" t="s">
        <v>1007</v>
      </c>
      <c r="E29" s="149" t="s">
        <v>1008</v>
      </c>
      <c r="F29" s="149" t="s">
        <v>265</v>
      </c>
      <c r="G29" s="149" t="s">
        <v>143</v>
      </c>
      <c r="H29" s="151" t="str">
        <f t="shared" si="1"/>
        <v>1994/07/30</v>
      </c>
      <c r="I29" s="149" t="s">
        <v>299</v>
      </c>
      <c r="J29" s="149" t="s">
        <v>641</v>
      </c>
      <c r="K29" s="101" t="str">
        <f t="shared" si="2"/>
        <v>94</v>
      </c>
      <c r="L29" s="101" t="str">
        <f t="shared" si="3"/>
        <v>07</v>
      </c>
      <c r="M29" s="101" t="str">
        <f t="shared" si="4"/>
        <v>30</v>
      </c>
    </row>
    <row r="30" spans="1:13">
      <c r="A30" t="str">
        <f t="shared" si="0"/>
        <v>川崎医科大学2029男</v>
      </c>
      <c r="B30" s="149" t="s">
        <v>1002</v>
      </c>
      <c r="C30" s="149">
        <v>2029</v>
      </c>
      <c r="D30" s="149" t="s">
        <v>1009</v>
      </c>
      <c r="E30" s="149" t="s">
        <v>1010</v>
      </c>
      <c r="F30" s="149" t="s">
        <v>267</v>
      </c>
      <c r="G30" s="149" t="s">
        <v>143</v>
      </c>
      <c r="H30" s="151" t="str">
        <f t="shared" si="1"/>
        <v>1987/04/10</v>
      </c>
      <c r="I30" s="149" t="s">
        <v>299</v>
      </c>
      <c r="J30" s="149" t="s">
        <v>3648</v>
      </c>
      <c r="K30" s="101" t="str">
        <f t="shared" si="2"/>
        <v>87</v>
      </c>
      <c r="L30" s="101" t="str">
        <f t="shared" si="3"/>
        <v>04</v>
      </c>
      <c r="M30" s="101" t="str">
        <f t="shared" si="4"/>
        <v>10</v>
      </c>
    </row>
    <row r="31" spans="1:13">
      <c r="A31" t="str">
        <f t="shared" si="0"/>
        <v>川崎医科大学2030男</v>
      </c>
      <c r="B31" s="149" t="s">
        <v>1002</v>
      </c>
      <c r="C31" s="149">
        <v>2030</v>
      </c>
      <c r="D31" s="149" t="s">
        <v>1011</v>
      </c>
      <c r="E31" s="149" t="s">
        <v>1012</v>
      </c>
      <c r="F31" s="149" t="s">
        <v>267</v>
      </c>
      <c r="G31" s="149" t="s">
        <v>143</v>
      </c>
      <c r="H31" s="151" t="str">
        <f t="shared" si="1"/>
        <v>1995/02/28</v>
      </c>
      <c r="I31" s="149" t="s">
        <v>299</v>
      </c>
      <c r="J31" s="149" t="s">
        <v>865</v>
      </c>
      <c r="K31" s="101" t="str">
        <f t="shared" si="2"/>
        <v>95</v>
      </c>
      <c r="L31" s="101" t="str">
        <f t="shared" si="3"/>
        <v>02</v>
      </c>
      <c r="M31" s="101" t="str">
        <f t="shared" si="4"/>
        <v>28</v>
      </c>
    </row>
    <row r="32" spans="1:13">
      <c r="A32" t="str">
        <f t="shared" si="0"/>
        <v>川崎医科大学2031男</v>
      </c>
      <c r="B32" s="149" t="s">
        <v>1002</v>
      </c>
      <c r="C32" s="149">
        <v>2031</v>
      </c>
      <c r="D32" s="149" t="s">
        <v>1013</v>
      </c>
      <c r="E32" s="149" t="s">
        <v>1014</v>
      </c>
      <c r="F32" s="149" t="s">
        <v>279</v>
      </c>
      <c r="G32" s="149" t="s">
        <v>143</v>
      </c>
      <c r="H32" s="151" t="str">
        <f t="shared" si="1"/>
        <v>1991/08/16</v>
      </c>
      <c r="I32" s="149" t="s">
        <v>299</v>
      </c>
      <c r="J32" s="149" t="s">
        <v>3649</v>
      </c>
      <c r="K32" s="101" t="str">
        <f t="shared" si="2"/>
        <v>91</v>
      </c>
      <c r="L32" s="101" t="str">
        <f t="shared" si="3"/>
        <v>08</v>
      </c>
      <c r="M32" s="101" t="str">
        <f t="shared" si="4"/>
        <v>16</v>
      </c>
    </row>
    <row r="33" spans="1:13">
      <c r="A33" t="str">
        <f t="shared" si="0"/>
        <v>川崎医科大学2032男</v>
      </c>
      <c r="B33" s="149" t="s">
        <v>1002</v>
      </c>
      <c r="C33" s="149">
        <v>2032</v>
      </c>
      <c r="D33" s="149" t="s">
        <v>1015</v>
      </c>
      <c r="E33" s="149" t="s">
        <v>1016</v>
      </c>
      <c r="F33" s="149" t="s">
        <v>279</v>
      </c>
      <c r="G33" s="149" t="s">
        <v>143</v>
      </c>
      <c r="H33" s="151" t="str">
        <f t="shared" si="1"/>
        <v>1991/06/16</v>
      </c>
      <c r="I33" s="149" t="s">
        <v>299</v>
      </c>
      <c r="J33" s="149" t="s">
        <v>3650</v>
      </c>
      <c r="K33" s="101" t="str">
        <f t="shared" si="2"/>
        <v>91</v>
      </c>
      <c r="L33" s="101" t="str">
        <f t="shared" si="3"/>
        <v>06</v>
      </c>
      <c r="M33" s="101" t="str">
        <f t="shared" si="4"/>
        <v>16</v>
      </c>
    </row>
    <row r="34" spans="1:13">
      <c r="A34" t="str">
        <f t="shared" si="0"/>
        <v>川崎医科大学2033男</v>
      </c>
      <c r="B34" s="149" t="s">
        <v>1002</v>
      </c>
      <c r="C34" s="149">
        <v>2033</v>
      </c>
      <c r="D34" s="149" t="s">
        <v>1017</v>
      </c>
      <c r="E34" s="149" t="s">
        <v>1018</v>
      </c>
      <c r="F34" s="149" t="s">
        <v>265</v>
      </c>
      <c r="G34" s="149" t="s">
        <v>143</v>
      </c>
      <c r="H34" s="151" t="str">
        <f t="shared" si="1"/>
        <v>1993/07/21</v>
      </c>
      <c r="I34" s="149" t="s">
        <v>299</v>
      </c>
      <c r="J34" s="149" t="s">
        <v>3651</v>
      </c>
      <c r="K34" s="101" t="str">
        <f t="shared" si="2"/>
        <v>93</v>
      </c>
      <c r="L34" s="101" t="str">
        <f t="shared" si="3"/>
        <v>07</v>
      </c>
      <c r="M34" s="101" t="str">
        <f t="shared" si="4"/>
        <v>21</v>
      </c>
    </row>
    <row r="35" spans="1:13">
      <c r="A35" t="str">
        <f t="shared" si="0"/>
        <v>川崎医科大学2034男</v>
      </c>
      <c r="B35" s="149" t="s">
        <v>1002</v>
      </c>
      <c r="C35" s="149">
        <v>2034</v>
      </c>
      <c r="D35" s="149" t="s">
        <v>1019</v>
      </c>
      <c r="E35" s="149" t="s">
        <v>1020</v>
      </c>
      <c r="F35" s="149" t="s">
        <v>260</v>
      </c>
      <c r="G35" s="149" t="s">
        <v>143</v>
      </c>
      <c r="H35" s="151" t="str">
        <f t="shared" si="1"/>
        <v>1991/05/03</v>
      </c>
      <c r="I35" s="149" t="s">
        <v>299</v>
      </c>
      <c r="J35" s="149" t="s">
        <v>3652</v>
      </c>
      <c r="K35" s="101" t="str">
        <f t="shared" si="2"/>
        <v>91</v>
      </c>
      <c r="L35" s="101" t="str">
        <f t="shared" si="3"/>
        <v>05</v>
      </c>
      <c r="M35" s="101" t="str">
        <f t="shared" si="4"/>
        <v>03</v>
      </c>
    </row>
    <row r="36" spans="1:13">
      <c r="A36" t="str">
        <f t="shared" si="0"/>
        <v>川崎医科大学2035男</v>
      </c>
      <c r="B36" s="149" t="s">
        <v>1002</v>
      </c>
      <c r="C36" s="149">
        <v>2035</v>
      </c>
      <c r="D36" s="149" t="s">
        <v>1021</v>
      </c>
      <c r="E36" s="149" t="s">
        <v>1022</v>
      </c>
      <c r="F36" s="149" t="s">
        <v>267</v>
      </c>
      <c r="G36" s="149" t="s">
        <v>143</v>
      </c>
      <c r="H36" s="151" t="str">
        <f t="shared" si="1"/>
        <v>1994/09/28</v>
      </c>
      <c r="I36" s="149" t="s">
        <v>299</v>
      </c>
      <c r="J36" s="149" t="s">
        <v>656</v>
      </c>
      <c r="K36" s="101" t="str">
        <f t="shared" si="2"/>
        <v>94</v>
      </c>
      <c r="L36" s="101" t="str">
        <f t="shared" si="3"/>
        <v>09</v>
      </c>
      <c r="M36" s="101" t="str">
        <f t="shared" si="4"/>
        <v>28</v>
      </c>
    </row>
    <row r="37" spans="1:13">
      <c r="A37" t="str">
        <f t="shared" si="0"/>
        <v>川崎医科大学2036男</v>
      </c>
      <c r="B37" s="149" t="s">
        <v>1002</v>
      </c>
      <c r="C37" s="149">
        <v>2036</v>
      </c>
      <c r="D37" s="149" t="s">
        <v>1023</v>
      </c>
      <c r="E37" s="149" t="s">
        <v>1024</v>
      </c>
      <c r="F37" s="149" t="s">
        <v>260</v>
      </c>
      <c r="G37" s="149" t="s">
        <v>143</v>
      </c>
      <c r="H37" s="151" t="str">
        <f t="shared" si="1"/>
        <v>1988/02/27</v>
      </c>
      <c r="I37" s="149" t="s">
        <v>299</v>
      </c>
      <c r="J37" s="149" t="s">
        <v>3653</v>
      </c>
      <c r="K37" s="101" t="str">
        <f t="shared" si="2"/>
        <v>88</v>
      </c>
      <c r="L37" s="101" t="str">
        <f t="shared" si="3"/>
        <v>02</v>
      </c>
      <c r="M37" s="101" t="str">
        <f t="shared" si="4"/>
        <v>27</v>
      </c>
    </row>
    <row r="38" spans="1:13">
      <c r="A38" t="str">
        <f t="shared" si="0"/>
        <v>川崎医科大学2037男</v>
      </c>
      <c r="B38" s="149" t="s">
        <v>1002</v>
      </c>
      <c r="C38" s="149">
        <v>2037</v>
      </c>
      <c r="D38" s="149" t="s">
        <v>1025</v>
      </c>
      <c r="E38" s="149" t="s">
        <v>1026</v>
      </c>
      <c r="F38" s="149" t="s">
        <v>265</v>
      </c>
      <c r="G38" s="149" t="s">
        <v>143</v>
      </c>
      <c r="H38" s="151" t="str">
        <f t="shared" si="1"/>
        <v>1992/02/13</v>
      </c>
      <c r="I38" s="149" t="s">
        <v>299</v>
      </c>
      <c r="J38" s="149" t="s">
        <v>3654</v>
      </c>
      <c r="K38" s="101" t="str">
        <f t="shared" si="2"/>
        <v>92</v>
      </c>
      <c r="L38" s="101" t="str">
        <f t="shared" si="3"/>
        <v>02</v>
      </c>
      <c r="M38" s="101" t="str">
        <f t="shared" si="4"/>
        <v>13</v>
      </c>
    </row>
    <row r="39" spans="1:13">
      <c r="A39" t="str">
        <f t="shared" si="0"/>
        <v>川崎医科大学2038男</v>
      </c>
      <c r="B39" s="149" t="s">
        <v>1002</v>
      </c>
      <c r="C39" s="149">
        <v>2038</v>
      </c>
      <c r="D39" s="149" t="s">
        <v>1027</v>
      </c>
      <c r="E39" s="149" t="s">
        <v>1028</v>
      </c>
      <c r="F39" s="149" t="s">
        <v>267</v>
      </c>
      <c r="G39" s="149" t="s">
        <v>143</v>
      </c>
      <c r="H39" s="151" t="str">
        <f t="shared" si="1"/>
        <v>1994/02/23</v>
      </c>
      <c r="I39" s="149" t="s">
        <v>299</v>
      </c>
      <c r="J39" s="149" t="s">
        <v>3655</v>
      </c>
      <c r="K39" s="101" t="str">
        <f t="shared" si="2"/>
        <v>94</v>
      </c>
      <c r="L39" s="101" t="str">
        <f t="shared" si="3"/>
        <v>02</v>
      </c>
      <c r="M39" s="101" t="str">
        <f t="shared" si="4"/>
        <v>23</v>
      </c>
    </row>
    <row r="40" spans="1:13">
      <c r="A40" t="str">
        <f t="shared" si="0"/>
        <v>川崎医科大学2039男</v>
      </c>
      <c r="B40" s="149" t="s">
        <v>1002</v>
      </c>
      <c r="C40" s="149">
        <v>2039</v>
      </c>
      <c r="D40" s="149" t="s">
        <v>1029</v>
      </c>
      <c r="E40" s="149" t="s">
        <v>1030</v>
      </c>
      <c r="F40" s="149" t="s">
        <v>267</v>
      </c>
      <c r="G40" s="149" t="s">
        <v>143</v>
      </c>
      <c r="H40" s="151" t="str">
        <f t="shared" si="1"/>
        <v>1994/10/20</v>
      </c>
      <c r="I40" s="149" t="s">
        <v>299</v>
      </c>
      <c r="J40" s="149" t="s">
        <v>772</v>
      </c>
      <c r="K40" s="101" t="str">
        <f t="shared" si="2"/>
        <v>94</v>
      </c>
      <c r="L40" s="101" t="str">
        <f t="shared" si="3"/>
        <v>10</v>
      </c>
      <c r="M40" s="101" t="str">
        <f t="shared" si="4"/>
        <v>20</v>
      </c>
    </row>
    <row r="41" spans="1:13">
      <c r="A41" t="str">
        <f t="shared" si="0"/>
        <v>川崎医科大学2040男</v>
      </c>
      <c r="B41" s="149" t="s">
        <v>1002</v>
      </c>
      <c r="C41" s="149">
        <v>2040</v>
      </c>
      <c r="D41" s="149" t="s">
        <v>1031</v>
      </c>
      <c r="E41" s="149" t="s">
        <v>1032</v>
      </c>
      <c r="F41" s="149" t="s">
        <v>293</v>
      </c>
      <c r="G41" s="149" t="s">
        <v>143</v>
      </c>
      <c r="H41" s="151" t="str">
        <f t="shared" si="1"/>
        <v>1980/04/17</v>
      </c>
      <c r="I41" s="149" t="s">
        <v>299</v>
      </c>
      <c r="J41" s="149" t="s">
        <v>3656</v>
      </c>
      <c r="K41" s="101" t="str">
        <f t="shared" si="2"/>
        <v>80</v>
      </c>
      <c r="L41" s="101" t="str">
        <f t="shared" si="3"/>
        <v>04</v>
      </c>
      <c r="M41" s="101" t="str">
        <f t="shared" si="4"/>
        <v>17</v>
      </c>
    </row>
    <row r="42" spans="1:13">
      <c r="A42" t="str">
        <f t="shared" si="0"/>
        <v>水産大学校2041男</v>
      </c>
      <c r="B42" s="149" t="s">
        <v>1033</v>
      </c>
      <c r="C42" s="149">
        <v>2041</v>
      </c>
      <c r="D42" s="149" t="s">
        <v>1034</v>
      </c>
      <c r="E42" s="149" t="s">
        <v>1035</v>
      </c>
      <c r="F42" s="149" t="s">
        <v>267</v>
      </c>
      <c r="G42" s="149" t="s">
        <v>143</v>
      </c>
      <c r="H42" s="151" t="str">
        <f t="shared" si="1"/>
        <v>1995/05/05</v>
      </c>
      <c r="I42" s="149" t="s">
        <v>269</v>
      </c>
      <c r="J42" s="149" t="s">
        <v>3657</v>
      </c>
      <c r="K42" s="101" t="str">
        <f t="shared" si="2"/>
        <v>95</v>
      </c>
      <c r="L42" s="101" t="str">
        <f t="shared" si="3"/>
        <v>05</v>
      </c>
      <c r="M42" s="101" t="str">
        <f t="shared" si="4"/>
        <v>05</v>
      </c>
    </row>
    <row r="43" spans="1:13">
      <c r="A43" t="str">
        <f t="shared" si="0"/>
        <v>水産大学校2042男</v>
      </c>
      <c r="B43" s="149" t="s">
        <v>1033</v>
      </c>
      <c r="C43" s="149">
        <v>2042</v>
      </c>
      <c r="D43" s="149" t="s">
        <v>1036</v>
      </c>
      <c r="E43" s="149" t="s">
        <v>1037</v>
      </c>
      <c r="F43" s="149" t="s">
        <v>267</v>
      </c>
      <c r="G43" s="149" t="s">
        <v>143</v>
      </c>
      <c r="H43" s="151" t="str">
        <f t="shared" si="1"/>
        <v>1995/08/21</v>
      </c>
      <c r="I43" s="149" t="s">
        <v>269</v>
      </c>
      <c r="J43" s="149" t="s">
        <v>496</v>
      </c>
      <c r="K43" s="101" t="str">
        <f t="shared" si="2"/>
        <v>95</v>
      </c>
      <c r="L43" s="101" t="str">
        <f t="shared" si="3"/>
        <v>08</v>
      </c>
      <c r="M43" s="101" t="str">
        <f t="shared" si="4"/>
        <v>21</v>
      </c>
    </row>
    <row r="44" spans="1:13">
      <c r="A44" t="str">
        <f t="shared" si="0"/>
        <v>水産大学校2043男</v>
      </c>
      <c r="B44" s="149" t="s">
        <v>1033</v>
      </c>
      <c r="C44" s="149">
        <v>2043</v>
      </c>
      <c r="D44" s="149" t="s">
        <v>1038</v>
      </c>
      <c r="E44" s="149" t="s">
        <v>1039</v>
      </c>
      <c r="F44" s="149" t="s">
        <v>267</v>
      </c>
      <c r="G44" s="149" t="s">
        <v>143</v>
      </c>
      <c r="H44" s="151" t="str">
        <f t="shared" si="1"/>
        <v>1996/03/10</v>
      </c>
      <c r="I44" s="149" t="s">
        <v>269</v>
      </c>
      <c r="J44" s="149" t="s">
        <v>790</v>
      </c>
      <c r="K44" s="101" t="str">
        <f t="shared" si="2"/>
        <v>96</v>
      </c>
      <c r="L44" s="101" t="str">
        <f t="shared" si="3"/>
        <v>03</v>
      </c>
      <c r="M44" s="101" t="str">
        <f t="shared" si="4"/>
        <v>10</v>
      </c>
    </row>
    <row r="45" spans="1:13">
      <c r="A45" t="str">
        <f t="shared" si="0"/>
        <v>水産大学校2044男</v>
      </c>
      <c r="B45" s="149" t="s">
        <v>1033</v>
      </c>
      <c r="C45" s="149">
        <v>2044</v>
      </c>
      <c r="D45" s="149" t="s">
        <v>1040</v>
      </c>
      <c r="E45" s="149" t="s">
        <v>1041</v>
      </c>
      <c r="F45" s="149" t="s">
        <v>267</v>
      </c>
      <c r="G45" s="149" t="s">
        <v>143</v>
      </c>
      <c r="H45" s="151" t="str">
        <f t="shared" si="1"/>
        <v>1996/03/25</v>
      </c>
      <c r="I45" s="149" t="s">
        <v>269</v>
      </c>
      <c r="J45" s="149" t="s">
        <v>3658</v>
      </c>
      <c r="K45" s="101" t="str">
        <f t="shared" si="2"/>
        <v>96</v>
      </c>
      <c r="L45" s="101" t="str">
        <f t="shared" si="3"/>
        <v>03</v>
      </c>
      <c r="M45" s="101" t="str">
        <f t="shared" si="4"/>
        <v>25</v>
      </c>
    </row>
    <row r="46" spans="1:13">
      <c r="A46" t="str">
        <f t="shared" si="0"/>
        <v>水産大学校2045男</v>
      </c>
      <c r="B46" s="149" t="s">
        <v>1033</v>
      </c>
      <c r="C46" s="149">
        <v>2045</v>
      </c>
      <c r="D46" s="149" t="s">
        <v>1042</v>
      </c>
      <c r="E46" s="149" t="s">
        <v>1043</v>
      </c>
      <c r="F46" s="149" t="s">
        <v>267</v>
      </c>
      <c r="G46" s="149" t="s">
        <v>143</v>
      </c>
      <c r="H46" s="151" t="str">
        <f t="shared" si="1"/>
        <v>1994/01/21</v>
      </c>
      <c r="I46" s="149" t="s">
        <v>269</v>
      </c>
      <c r="J46" s="149" t="s">
        <v>563</v>
      </c>
      <c r="K46" s="101" t="str">
        <f t="shared" si="2"/>
        <v>94</v>
      </c>
      <c r="L46" s="101" t="str">
        <f t="shared" si="3"/>
        <v>01</v>
      </c>
      <c r="M46" s="101" t="str">
        <f t="shared" si="4"/>
        <v>21</v>
      </c>
    </row>
    <row r="47" spans="1:13">
      <c r="A47" t="str">
        <f t="shared" si="0"/>
        <v>水産大学校2046男</v>
      </c>
      <c r="B47" s="149" t="s">
        <v>1033</v>
      </c>
      <c r="C47" s="149">
        <v>2046</v>
      </c>
      <c r="D47" s="149" t="s">
        <v>1044</v>
      </c>
      <c r="E47" s="149" t="s">
        <v>1045</v>
      </c>
      <c r="F47" s="149" t="s">
        <v>267</v>
      </c>
      <c r="G47" s="149" t="s">
        <v>143</v>
      </c>
      <c r="H47" s="151" t="str">
        <f t="shared" si="1"/>
        <v>1995/03/26</v>
      </c>
      <c r="I47" s="149" t="s">
        <v>269</v>
      </c>
      <c r="J47" s="149" t="s">
        <v>453</v>
      </c>
      <c r="K47" s="101" t="str">
        <f t="shared" si="2"/>
        <v>95</v>
      </c>
      <c r="L47" s="101" t="str">
        <f t="shared" si="3"/>
        <v>03</v>
      </c>
      <c r="M47" s="101" t="str">
        <f t="shared" si="4"/>
        <v>26</v>
      </c>
    </row>
    <row r="48" spans="1:13">
      <c r="A48" t="str">
        <f t="shared" si="0"/>
        <v>水産大学校2047男</v>
      </c>
      <c r="B48" s="149" t="s">
        <v>1033</v>
      </c>
      <c r="C48" s="149">
        <v>2047</v>
      </c>
      <c r="D48" s="149" t="s">
        <v>1046</v>
      </c>
      <c r="E48" s="149" t="s">
        <v>1047</v>
      </c>
      <c r="F48" s="149" t="s">
        <v>265</v>
      </c>
      <c r="G48" s="149" t="s">
        <v>143</v>
      </c>
      <c r="H48" s="151" t="str">
        <f t="shared" si="1"/>
        <v>1993/12/18</v>
      </c>
      <c r="I48" s="149" t="s">
        <v>269</v>
      </c>
      <c r="J48" s="149" t="s">
        <v>3659</v>
      </c>
      <c r="K48" s="101" t="str">
        <f t="shared" si="2"/>
        <v>93</v>
      </c>
      <c r="L48" s="101" t="str">
        <f t="shared" si="3"/>
        <v>12</v>
      </c>
      <c r="M48" s="101" t="str">
        <f t="shared" si="4"/>
        <v>18</v>
      </c>
    </row>
    <row r="49" spans="1:13">
      <c r="A49" t="str">
        <f t="shared" si="0"/>
        <v>水産大学校2048男</v>
      </c>
      <c r="B49" s="149" t="s">
        <v>1033</v>
      </c>
      <c r="C49" s="149">
        <v>2048</v>
      </c>
      <c r="D49" s="149" t="s">
        <v>1048</v>
      </c>
      <c r="E49" s="149" t="s">
        <v>1049</v>
      </c>
      <c r="F49" s="149" t="s">
        <v>265</v>
      </c>
      <c r="G49" s="149" t="s">
        <v>143</v>
      </c>
      <c r="H49" s="151" t="str">
        <f t="shared" si="1"/>
        <v>1995/01/14</v>
      </c>
      <c r="I49" s="149" t="s">
        <v>269</v>
      </c>
      <c r="J49" s="149" t="s">
        <v>3660</v>
      </c>
      <c r="K49" s="101" t="str">
        <f t="shared" si="2"/>
        <v>95</v>
      </c>
      <c r="L49" s="101" t="str">
        <f t="shared" si="3"/>
        <v>01</v>
      </c>
      <c r="M49" s="101" t="str">
        <f t="shared" si="4"/>
        <v>14</v>
      </c>
    </row>
    <row r="50" spans="1:13">
      <c r="A50" t="str">
        <f t="shared" si="0"/>
        <v>水産大学校2049男</v>
      </c>
      <c r="B50" s="149" t="s">
        <v>1033</v>
      </c>
      <c r="C50" s="149">
        <v>2049</v>
      </c>
      <c r="D50" s="149" t="s">
        <v>1050</v>
      </c>
      <c r="E50" s="149" t="s">
        <v>1051</v>
      </c>
      <c r="F50" s="149" t="s">
        <v>265</v>
      </c>
      <c r="G50" s="149" t="s">
        <v>143</v>
      </c>
      <c r="H50" s="151" t="str">
        <f t="shared" si="1"/>
        <v>1995/03/19</v>
      </c>
      <c r="I50" s="149" t="s">
        <v>269</v>
      </c>
      <c r="J50" s="149" t="s">
        <v>3661</v>
      </c>
      <c r="K50" s="101" t="str">
        <f t="shared" si="2"/>
        <v>95</v>
      </c>
      <c r="L50" s="101" t="str">
        <f t="shared" si="3"/>
        <v>03</v>
      </c>
      <c r="M50" s="101" t="str">
        <f t="shared" si="4"/>
        <v>19</v>
      </c>
    </row>
    <row r="51" spans="1:13">
      <c r="A51" t="str">
        <f t="shared" si="0"/>
        <v>水産大学校2050男</v>
      </c>
      <c r="B51" s="149" t="s">
        <v>1033</v>
      </c>
      <c r="C51" s="149">
        <v>2050</v>
      </c>
      <c r="D51" s="149" t="s">
        <v>1052</v>
      </c>
      <c r="E51" s="149" t="s">
        <v>1053</v>
      </c>
      <c r="F51" s="149" t="s">
        <v>265</v>
      </c>
      <c r="G51" s="149" t="s">
        <v>143</v>
      </c>
      <c r="H51" s="151" t="str">
        <f t="shared" si="1"/>
        <v>1994/09/18</v>
      </c>
      <c r="I51" s="149" t="s">
        <v>269</v>
      </c>
      <c r="J51" s="149" t="s">
        <v>545</v>
      </c>
      <c r="K51" s="101" t="str">
        <f t="shared" si="2"/>
        <v>94</v>
      </c>
      <c r="L51" s="101" t="str">
        <f t="shared" si="3"/>
        <v>09</v>
      </c>
      <c r="M51" s="101" t="str">
        <f t="shared" si="4"/>
        <v>18</v>
      </c>
    </row>
    <row r="52" spans="1:13">
      <c r="A52" t="str">
        <f t="shared" si="0"/>
        <v>水産大学校2051男</v>
      </c>
      <c r="B52" s="149" t="s">
        <v>1033</v>
      </c>
      <c r="C52" s="149">
        <v>2051</v>
      </c>
      <c r="D52" s="149" t="s">
        <v>1054</v>
      </c>
      <c r="E52" s="149" t="s">
        <v>1055</v>
      </c>
      <c r="F52" s="149" t="s">
        <v>265</v>
      </c>
      <c r="G52" s="149" t="s">
        <v>143</v>
      </c>
      <c r="H52" s="151" t="str">
        <f t="shared" si="1"/>
        <v>1994/12/29</v>
      </c>
      <c r="I52" s="149" t="s">
        <v>269</v>
      </c>
      <c r="J52" s="149" t="s">
        <v>3662</v>
      </c>
      <c r="K52" s="101" t="str">
        <f t="shared" si="2"/>
        <v>94</v>
      </c>
      <c r="L52" s="101" t="str">
        <f t="shared" si="3"/>
        <v>12</v>
      </c>
      <c r="M52" s="101" t="str">
        <f t="shared" si="4"/>
        <v>29</v>
      </c>
    </row>
    <row r="53" spans="1:13">
      <c r="A53" t="str">
        <f t="shared" si="0"/>
        <v>水産大学校2052男</v>
      </c>
      <c r="B53" s="149" t="s">
        <v>1033</v>
      </c>
      <c r="C53" s="149">
        <v>2052</v>
      </c>
      <c r="D53" s="149" t="s">
        <v>1056</v>
      </c>
      <c r="E53" s="149" t="s">
        <v>1057</v>
      </c>
      <c r="F53" s="149" t="s">
        <v>265</v>
      </c>
      <c r="G53" s="149" t="s">
        <v>143</v>
      </c>
      <c r="H53" s="151" t="str">
        <f t="shared" si="1"/>
        <v>1994/11/22</v>
      </c>
      <c r="I53" s="149" t="s">
        <v>269</v>
      </c>
      <c r="J53" s="149" t="s">
        <v>521</v>
      </c>
      <c r="K53" s="101" t="str">
        <f t="shared" si="2"/>
        <v>94</v>
      </c>
      <c r="L53" s="101" t="str">
        <f t="shared" si="3"/>
        <v>11</v>
      </c>
      <c r="M53" s="101" t="str">
        <f t="shared" si="4"/>
        <v>22</v>
      </c>
    </row>
    <row r="54" spans="1:13">
      <c r="A54" t="str">
        <f t="shared" si="0"/>
        <v>水産大学校2053男</v>
      </c>
      <c r="B54" s="149" t="s">
        <v>1033</v>
      </c>
      <c r="C54" s="149">
        <v>2053</v>
      </c>
      <c r="D54" s="149" t="s">
        <v>1058</v>
      </c>
      <c r="E54" s="149" t="s">
        <v>1059</v>
      </c>
      <c r="F54" s="149" t="s">
        <v>260</v>
      </c>
      <c r="G54" s="149" t="s">
        <v>143</v>
      </c>
      <c r="H54" s="151" t="str">
        <f t="shared" si="1"/>
        <v>1992/07/02</v>
      </c>
      <c r="I54" s="149" t="s">
        <v>269</v>
      </c>
      <c r="J54" s="149" t="s">
        <v>3663</v>
      </c>
      <c r="K54" s="101" t="str">
        <f t="shared" si="2"/>
        <v>92</v>
      </c>
      <c r="L54" s="101" t="str">
        <f t="shared" si="3"/>
        <v>07</v>
      </c>
      <c r="M54" s="101" t="str">
        <f t="shared" si="4"/>
        <v>02</v>
      </c>
    </row>
    <row r="55" spans="1:13">
      <c r="A55" t="str">
        <f t="shared" si="0"/>
        <v>水産大学校2054男</v>
      </c>
      <c r="B55" s="149" t="s">
        <v>1033</v>
      </c>
      <c r="C55" s="149">
        <v>2054</v>
      </c>
      <c r="D55" s="149" t="s">
        <v>1060</v>
      </c>
      <c r="E55" s="149" t="s">
        <v>1061</v>
      </c>
      <c r="F55" s="149" t="s">
        <v>260</v>
      </c>
      <c r="G55" s="149" t="s">
        <v>143</v>
      </c>
      <c r="H55" s="151" t="str">
        <f t="shared" si="1"/>
        <v>1993/05/14</v>
      </c>
      <c r="I55" s="149" t="s">
        <v>269</v>
      </c>
      <c r="J55" s="149" t="s">
        <v>370</v>
      </c>
      <c r="K55" s="101" t="str">
        <f t="shared" si="2"/>
        <v>93</v>
      </c>
      <c r="L55" s="101" t="str">
        <f t="shared" si="3"/>
        <v>05</v>
      </c>
      <c r="M55" s="101" t="str">
        <f t="shared" si="4"/>
        <v>14</v>
      </c>
    </row>
    <row r="56" spans="1:13">
      <c r="A56" t="str">
        <f t="shared" si="0"/>
        <v>島根大学2055男</v>
      </c>
      <c r="B56" s="149" t="s">
        <v>1062</v>
      </c>
      <c r="C56" s="149">
        <v>2055</v>
      </c>
      <c r="D56" s="149" t="s">
        <v>1063</v>
      </c>
      <c r="E56" s="149" t="s">
        <v>1064</v>
      </c>
      <c r="F56" s="149" t="s">
        <v>260</v>
      </c>
      <c r="G56" s="149" t="s">
        <v>143</v>
      </c>
      <c r="H56" s="151" t="str">
        <f t="shared" si="1"/>
        <v>1992/08/28</v>
      </c>
      <c r="I56" s="149" t="s">
        <v>301</v>
      </c>
      <c r="J56" s="149" t="s">
        <v>3664</v>
      </c>
      <c r="K56" s="101" t="str">
        <f t="shared" si="2"/>
        <v>92</v>
      </c>
      <c r="L56" s="101" t="str">
        <f t="shared" si="3"/>
        <v>08</v>
      </c>
      <c r="M56" s="101" t="str">
        <f t="shared" si="4"/>
        <v>28</v>
      </c>
    </row>
    <row r="57" spans="1:13">
      <c r="A57" t="str">
        <f t="shared" si="0"/>
        <v>島根大学2056男</v>
      </c>
      <c r="B57" s="149" t="s">
        <v>1062</v>
      </c>
      <c r="C57" s="149">
        <v>2056</v>
      </c>
      <c r="D57" s="149" t="s">
        <v>1065</v>
      </c>
      <c r="E57" s="149" t="s">
        <v>1066</v>
      </c>
      <c r="F57" s="149" t="s">
        <v>260</v>
      </c>
      <c r="G57" s="149" t="s">
        <v>143</v>
      </c>
      <c r="H57" s="151" t="str">
        <f t="shared" si="1"/>
        <v>1993/06/25</v>
      </c>
      <c r="I57" s="149" t="s">
        <v>301</v>
      </c>
      <c r="J57" s="149" t="s">
        <v>670</v>
      </c>
      <c r="K57" s="101" t="str">
        <f t="shared" si="2"/>
        <v>93</v>
      </c>
      <c r="L57" s="101" t="str">
        <f t="shared" si="3"/>
        <v>06</v>
      </c>
      <c r="M57" s="101" t="str">
        <f t="shared" si="4"/>
        <v>25</v>
      </c>
    </row>
    <row r="58" spans="1:13">
      <c r="A58" t="str">
        <f t="shared" si="0"/>
        <v>島根大学2057男</v>
      </c>
      <c r="B58" s="149" t="s">
        <v>1062</v>
      </c>
      <c r="C58" s="149">
        <v>2057</v>
      </c>
      <c r="D58" s="149" t="s">
        <v>1067</v>
      </c>
      <c r="E58" s="149" t="s">
        <v>1068</v>
      </c>
      <c r="F58" s="149" t="s">
        <v>260</v>
      </c>
      <c r="G58" s="149" t="s">
        <v>143</v>
      </c>
      <c r="H58" s="151" t="str">
        <f t="shared" si="1"/>
        <v>1994/03/24</v>
      </c>
      <c r="I58" s="149" t="s">
        <v>301</v>
      </c>
      <c r="J58" s="149" t="s">
        <v>3665</v>
      </c>
      <c r="K58" s="101" t="str">
        <f t="shared" si="2"/>
        <v>94</v>
      </c>
      <c r="L58" s="101" t="str">
        <f t="shared" si="3"/>
        <v>03</v>
      </c>
      <c r="M58" s="101" t="str">
        <f t="shared" si="4"/>
        <v>24</v>
      </c>
    </row>
    <row r="59" spans="1:13">
      <c r="A59" t="str">
        <f t="shared" si="0"/>
        <v>島根大学2058男</v>
      </c>
      <c r="B59" s="149" t="s">
        <v>1062</v>
      </c>
      <c r="C59" s="149">
        <v>2058</v>
      </c>
      <c r="D59" s="149" t="s">
        <v>1069</v>
      </c>
      <c r="E59" s="149" t="s">
        <v>1070</v>
      </c>
      <c r="F59" s="149" t="s">
        <v>260</v>
      </c>
      <c r="G59" s="149" t="s">
        <v>143</v>
      </c>
      <c r="H59" s="151" t="str">
        <f t="shared" si="1"/>
        <v>1993/05/07</v>
      </c>
      <c r="I59" s="149" t="s">
        <v>301</v>
      </c>
      <c r="J59" s="149" t="s">
        <v>345</v>
      </c>
      <c r="K59" s="101" t="str">
        <f t="shared" si="2"/>
        <v>93</v>
      </c>
      <c r="L59" s="101" t="str">
        <f t="shared" si="3"/>
        <v>05</v>
      </c>
      <c r="M59" s="101" t="str">
        <f t="shared" si="4"/>
        <v>07</v>
      </c>
    </row>
    <row r="60" spans="1:13">
      <c r="A60" t="str">
        <f t="shared" si="0"/>
        <v>島根大学2059男</v>
      </c>
      <c r="B60" s="149" t="s">
        <v>1062</v>
      </c>
      <c r="C60" s="149">
        <v>2059</v>
      </c>
      <c r="D60" s="149" t="s">
        <v>1071</v>
      </c>
      <c r="E60" s="149" t="s">
        <v>1072</v>
      </c>
      <c r="F60" s="149" t="s">
        <v>260</v>
      </c>
      <c r="G60" s="149" t="s">
        <v>143</v>
      </c>
      <c r="H60" s="151" t="str">
        <f t="shared" si="1"/>
        <v>1992/09/17</v>
      </c>
      <c r="I60" s="149" t="s">
        <v>301</v>
      </c>
      <c r="J60" s="149" t="s">
        <v>3666</v>
      </c>
      <c r="K60" s="101" t="str">
        <f t="shared" si="2"/>
        <v>92</v>
      </c>
      <c r="L60" s="101" t="str">
        <f t="shared" si="3"/>
        <v>09</v>
      </c>
      <c r="M60" s="101" t="str">
        <f t="shared" si="4"/>
        <v>17</v>
      </c>
    </row>
    <row r="61" spans="1:13">
      <c r="A61" t="str">
        <f t="shared" si="0"/>
        <v>島根大学2060男</v>
      </c>
      <c r="B61" s="149" t="s">
        <v>1062</v>
      </c>
      <c r="C61" s="149">
        <v>2060</v>
      </c>
      <c r="D61" s="149" t="s">
        <v>1073</v>
      </c>
      <c r="E61" s="149" t="s">
        <v>1074</v>
      </c>
      <c r="F61" s="149" t="s">
        <v>260</v>
      </c>
      <c r="G61" s="149" t="s">
        <v>143</v>
      </c>
      <c r="H61" s="151" t="str">
        <f t="shared" si="1"/>
        <v>1992/07/09</v>
      </c>
      <c r="I61" s="149" t="s">
        <v>301</v>
      </c>
      <c r="J61" s="149" t="s">
        <v>3667</v>
      </c>
      <c r="K61" s="101" t="str">
        <f t="shared" si="2"/>
        <v>92</v>
      </c>
      <c r="L61" s="101" t="str">
        <f t="shared" si="3"/>
        <v>07</v>
      </c>
      <c r="M61" s="101" t="str">
        <f t="shared" si="4"/>
        <v>09</v>
      </c>
    </row>
    <row r="62" spans="1:13">
      <c r="A62" t="str">
        <f t="shared" si="0"/>
        <v>島根大学2061男</v>
      </c>
      <c r="B62" s="149" t="s">
        <v>1062</v>
      </c>
      <c r="C62" s="149">
        <v>2061</v>
      </c>
      <c r="D62" s="149" t="s">
        <v>1075</v>
      </c>
      <c r="E62" s="149" t="s">
        <v>1076</v>
      </c>
      <c r="F62" s="149" t="s">
        <v>265</v>
      </c>
      <c r="G62" s="149" t="s">
        <v>143</v>
      </c>
      <c r="H62" s="151" t="str">
        <f t="shared" si="1"/>
        <v>1994/10/17</v>
      </c>
      <c r="I62" s="149" t="s">
        <v>301</v>
      </c>
      <c r="J62" s="149" t="s">
        <v>677</v>
      </c>
      <c r="K62" s="101" t="str">
        <f t="shared" si="2"/>
        <v>94</v>
      </c>
      <c r="L62" s="101" t="str">
        <f t="shared" si="3"/>
        <v>10</v>
      </c>
      <c r="M62" s="101" t="str">
        <f t="shared" si="4"/>
        <v>17</v>
      </c>
    </row>
    <row r="63" spans="1:13">
      <c r="A63" t="str">
        <f t="shared" si="0"/>
        <v>島根大学2062男</v>
      </c>
      <c r="B63" s="149" t="s">
        <v>1062</v>
      </c>
      <c r="C63" s="149">
        <v>2062</v>
      </c>
      <c r="D63" s="149" t="s">
        <v>1077</v>
      </c>
      <c r="E63" s="149" t="s">
        <v>1078</v>
      </c>
      <c r="F63" s="149" t="s">
        <v>265</v>
      </c>
      <c r="G63" s="149" t="s">
        <v>143</v>
      </c>
      <c r="H63" s="151" t="str">
        <f t="shared" si="1"/>
        <v>1994/05/10</v>
      </c>
      <c r="I63" s="149" t="s">
        <v>301</v>
      </c>
      <c r="J63" s="149" t="s">
        <v>474</v>
      </c>
      <c r="K63" s="101" t="str">
        <f t="shared" si="2"/>
        <v>94</v>
      </c>
      <c r="L63" s="101" t="str">
        <f t="shared" si="3"/>
        <v>05</v>
      </c>
      <c r="M63" s="101" t="str">
        <f t="shared" si="4"/>
        <v>10</v>
      </c>
    </row>
    <row r="64" spans="1:13">
      <c r="A64" t="str">
        <f t="shared" si="0"/>
        <v>島根大学2063男</v>
      </c>
      <c r="B64" s="149" t="s">
        <v>1062</v>
      </c>
      <c r="C64" s="149">
        <v>2063</v>
      </c>
      <c r="D64" s="149" t="s">
        <v>1079</v>
      </c>
      <c r="E64" s="149" t="s">
        <v>1080</v>
      </c>
      <c r="F64" s="149" t="s">
        <v>265</v>
      </c>
      <c r="G64" s="149" t="s">
        <v>143</v>
      </c>
      <c r="H64" s="151" t="str">
        <f t="shared" si="1"/>
        <v>1993/05/19</v>
      </c>
      <c r="I64" s="149" t="s">
        <v>301</v>
      </c>
      <c r="J64" s="149" t="s">
        <v>3668</v>
      </c>
      <c r="K64" s="101" t="str">
        <f t="shared" si="2"/>
        <v>93</v>
      </c>
      <c r="L64" s="101" t="str">
        <f t="shared" si="3"/>
        <v>05</v>
      </c>
      <c r="M64" s="101" t="str">
        <f t="shared" si="4"/>
        <v>19</v>
      </c>
    </row>
    <row r="65" spans="1:13">
      <c r="A65" t="str">
        <f t="shared" si="0"/>
        <v>島根大学2064男</v>
      </c>
      <c r="B65" s="149" t="s">
        <v>1062</v>
      </c>
      <c r="C65" s="149">
        <v>2064</v>
      </c>
      <c r="D65" s="149" t="s">
        <v>1081</v>
      </c>
      <c r="E65" s="149" t="s">
        <v>1082</v>
      </c>
      <c r="F65" s="149" t="s">
        <v>265</v>
      </c>
      <c r="G65" s="149" t="s">
        <v>143</v>
      </c>
      <c r="H65" s="151" t="str">
        <f t="shared" si="1"/>
        <v>1995/02/05</v>
      </c>
      <c r="I65" s="149" t="s">
        <v>301</v>
      </c>
      <c r="J65" s="149" t="s">
        <v>3669</v>
      </c>
      <c r="K65" s="101" t="str">
        <f t="shared" si="2"/>
        <v>95</v>
      </c>
      <c r="L65" s="101" t="str">
        <f t="shared" si="3"/>
        <v>02</v>
      </c>
      <c r="M65" s="101" t="str">
        <f t="shared" si="4"/>
        <v>05</v>
      </c>
    </row>
    <row r="66" spans="1:13">
      <c r="A66" t="str">
        <f t="shared" ref="A66:A129" si="5">B66&amp;C66&amp;G66</f>
        <v>島根大学2065男</v>
      </c>
      <c r="B66" s="149" t="s">
        <v>1062</v>
      </c>
      <c r="C66" s="149">
        <v>2065</v>
      </c>
      <c r="D66" s="149" t="s">
        <v>1083</v>
      </c>
      <c r="E66" s="149" t="s">
        <v>1084</v>
      </c>
      <c r="F66" s="149" t="s">
        <v>265</v>
      </c>
      <c r="G66" s="149" t="s">
        <v>143</v>
      </c>
      <c r="H66" s="151" t="str">
        <f t="shared" si="1"/>
        <v>1994/11/15</v>
      </c>
      <c r="I66" s="149" t="s">
        <v>301</v>
      </c>
      <c r="J66" s="149" t="s">
        <v>639</v>
      </c>
      <c r="K66" s="101" t="str">
        <f t="shared" si="2"/>
        <v>94</v>
      </c>
      <c r="L66" s="101" t="str">
        <f t="shared" si="3"/>
        <v>11</v>
      </c>
      <c r="M66" s="101" t="str">
        <f t="shared" si="4"/>
        <v>15</v>
      </c>
    </row>
    <row r="67" spans="1:13">
      <c r="A67" t="str">
        <f t="shared" si="5"/>
        <v>島根大学2066男</v>
      </c>
      <c r="B67" s="149" t="s">
        <v>1062</v>
      </c>
      <c r="C67" s="149">
        <v>2066</v>
      </c>
      <c r="D67" s="149" t="s">
        <v>1085</v>
      </c>
      <c r="E67" s="149" t="s">
        <v>1086</v>
      </c>
      <c r="F67" s="149" t="s">
        <v>265</v>
      </c>
      <c r="G67" s="149" t="s">
        <v>143</v>
      </c>
      <c r="H67" s="151" t="str">
        <f t="shared" ref="H67:H130" si="6">"19"&amp;K67&amp;"/"&amp;L67&amp;"/"&amp;M67</f>
        <v>1993/05/16</v>
      </c>
      <c r="I67" s="149" t="s">
        <v>301</v>
      </c>
      <c r="J67" s="149" t="s">
        <v>432</v>
      </c>
      <c r="K67" s="101" t="str">
        <f t="shared" ref="K67:K130" si="7">MID(J67,1,2)</f>
        <v>93</v>
      </c>
      <c r="L67" s="101" t="str">
        <f t="shared" ref="L67:L130" si="8">MID(J67,3,2)</f>
        <v>05</v>
      </c>
      <c r="M67" s="101" t="str">
        <f t="shared" ref="M67:M130" si="9">MID(J67,5,2)</f>
        <v>16</v>
      </c>
    </row>
    <row r="68" spans="1:13">
      <c r="A68" t="str">
        <f t="shared" si="5"/>
        <v>島根大学2067男</v>
      </c>
      <c r="B68" s="149" t="s">
        <v>1062</v>
      </c>
      <c r="C68" s="149">
        <v>2067</v>
      </c>
      <c r="D68" s="149" t="s">
        <v>1087</v>
      </c>
      <c r="E68" s="149" t="s">
        <v>1088</v>
      </c>
      <c r="F68" s="149" t="s">
        <v>265</v>
      </c>
      <c r="G68" s="149" t="s">
        <v>143</v>
      </c>
      <c r="H68" s="151" t="str">
        <f t="shared" si="6"/>
        <v>1994/09/12</v>
      </c>
      <c r="I68" s="149" t="s">
        <v>301</v>
      </c>
      <c r="J68" s="149" t="s">
        <v>638</v>
      </c>
      <c r="K68" s="101" t="str">
        <f t="shared" si="7"/>
        <v>94</v>
      </c>
      <c r="L68" s="101" t="str">
        <f t="shared" si="8"/>
        <v>09</v>
      </c>
      <c r="M68" s="101" t="str">
        <f t="shared" si="9"/>
        <v>12</v>
      </c>
    </row>
    <row r="69" spans="1:13">
      <c r="A69" t="str">
        <f t="shared" si="5"/>
        <v>島根大学2068男</v>
      </c>
      <c r="B69" s="149" t="s">
        <v>1062</v>
      </c>
      <c r="C69" s="149">
        <v>2068</v>
      </c>
      <c r="D69" s="149" t="s">
        <v>1089</v>
      </c>
      <c r="E69" s="149" t="s">
        <v>1090</v>
      </c>
      <c r="F69" s="149" t="s">
        <v>267</v>
      </c>
      <c r="G69" s="149" t="s">
        <v>143</v>
      </c>
      <c r="H69" s="151" t="str">
        <f t="shared" si="6"/>
        <v>1994/09/26</v>
      </c>
      <c r="I69" s="149" t="s">
        <v>301</v>
      </c>
      <c r="J69" s="149" t="s">
        <v>3670</v>
      </c>
      <c r="K69" s="101" t="str">
        <f t="shared" si="7"/>
        <v>94</v>
      </c>
      <c r="L69" s="101" t="str">
        <f t="shared" si="8"/>
        <v>09</v>
      </c>
      <c r="M69" s="101" t="str">
        <f t="shared" si="9"/>
        <v>26</v>
      </c>
    </row>
    <row r="70" spans="1:13">
      <c r="A70" t="str">
        <f t="shared" si="5"/>
        <v>島根大学2069男</v>
      </c>
      <c r="B70" s="149" t="s">
        <v>1062</v>
      </c>
      <c r="C70" s="149">
        <v>2069</v>
      </c>
      <c r="D70" s="149" t="s">
        <v>1091</v>
      </c>
      <c r="E70" s="149" t="s">
        <v>1092</v>
      </c>
      <c r="F70" s="149" t="s">
        <v>267</v>
      </c>
      <c r="G70" s="149" t="s">
        <v>143</v>
      </c>
      <c r="H70" s="151" t="str">
        <f t="shared" si="6"/>
        <v>1995/05/20</v>
      </c>
      <c r="I70" s="149" t="s">
        <v>301</v>
      </c>
      <c r="J70" s="149" t="s">
        <v>489</v>
      </c>
      <c r="K70" s="101" t="str">
        <f t="shared" si="7"/>
        <v>95</v>
      </c>
      <c r="L70" s="101" t="str">
        <f t="shared" si="8"/>
        <v>05</v>
      </c>
      <c r="M70" s="101" t="str">
        <f t="shared" si="9"/>
        <v>20</v>
      </c>
    </row>
    <row r="71" spans="1:13">
      <c r="A71" t="str">
        <f t="shared" si="5"/>
        <v>島根大学2070男</v>
      </c>
      <c r="B71" s="149" t="s">
        <v>1062</v>
      </c>
      <c r="C71" s="149">
        <v>2070</v>
      </c>
      <c r="D71" s="149" t="s">
        <v>1093</v>
      </c>
      <c r="E71" s="149" t="s">
        <v>1094</v>
      </c>
      <c r="F71" s="149" t="s">
        <v>267</v>
      </c>
      <c r="G71" s="149" t="s">
        <v>143</v>
      </c>
      <c r="H71" s="151" t="str">
        <f t="shared" si="6"/>
        <v>1995/09/23</v>
      </c>
      <c r="I71" s="149" t="s">
        <v>301</v>
      </c>
      <c r="J71" s="149" t="s">
        <v>689</v>
      </c>
      <c r="K71" s="101" t="str">
        <f t="shared" si="7"/>
        <v>95</v>
      </c>
      <c r="L71" s="101" t="str">
        <f t="shared" si="8"/>
        <v>09</v>
      </c>
      <c r="M71" s="101" t="str">
        <f t="shared" si="9"/>
        <v>23</v>
      </c>
    </row>
    <row r="72" spans="1:13">
      <c r="A72" t="str">
        <f t="shared" si="5"/>
        <v>島根大学2071男</v>
      </c>
      <c r="B72" s="149" t="s">
        <v>1062</v>
      </c>
      <c r="C72" s="149">
        <v>2071</v>
      </c>
      <c r="D72" s="149" t="s">
        <v>1095</v>
      </c>
      <c r="E72" s="149" t="s">
        <v>1096</v>
      </c>
      <c r="F72" s="149" t="s">
        <v>267</v>
      </c>
      <c r="G72" s="149" t="s">
        <v>143</v>
      </c>
      <c r="H72" s="151" t="str">
        <f t="shared" si="6"/>
        <v>1995/11/01</v>
      </c>
      <c r="I72" s="149" t="s">
        <v>301</v>
      </c>
      <c r="J72" s="149" t="s">
        <v>616</v>
      </c>
      <c r="K72" s="101" t="str">
        <f t="shared" si="7"/>
        <v>95</v>
      </c>
      <c r="L72" s="101" t="str">
        <f t="shared" si="8"/>
        <v>11</v>
      </c>
      <c r="M72" s="101" t="str">
        <f t="shared" si="9"/>
        <v>01</v>
      </c>
    </row>
    <row r="73" spans="1:13">
      <c r="A73" t="str">
        <f t="shared" si="5"/>
        <v>島根大学2072男</v>
      </c>
      <c r="B73" s="149" t="s">
        <v>1062</v>
      </c>
      <c r="C73" s="149">
        <v>2072</v>
      </c>
      <c r="D73" s="149" t="s">
        <v>1097</v>
      </c>
      <c r="E73" s="149" t="s">
        <v>1098</v>
      </c>
      <c r="F73" s="149" t="s">
        <v>267</v>
      </c>
      <c r="G73" s="149" t="s">
        <v>143</v>
      </c>
      <c r="H73" s="151" t="str">
        <f t="shared" si="6"/>
        <v>1996/01/17</v>
      </c>
      <c r="I73" s="149" t="s">
        <v>301</v>
      </c>
      <c r="J73" s="149" t="s">
        <v>3671</v>
      </c>
      <c r="K73" s="101" t="str">
        <f t="shared" si="7"/>
        <v>96</v>
      </c>
      <c r="L73" s="101" t="str">
        <f t="shared" si="8"/>
        <v>01</v>
      </c>
      <c r="M73" s="101" t="str">
        <f t="shared" si="9"/>
        <v>17</v>
      </c>
    </row>
    <row r="74" spans="1:13">
      <c r="A74" t="str">
        <f t="shared" si="5"/>
        <v>島根大学2073男</v>
      </c>
      <c r="B74" s="149" t="s">
        <v>1062</v>
      </c>
      <c r="C74" s="149">
        <v>2073</v>
      </c>
      <c r="D74" s="149" t="s">
        <v>1099</v>
      </c>
      <c r="E74" s="149" t="s">
        <v>1100</v>
      </c>
      <c r="F74" s="149" t="s">
        <v>267</v>
      </c>
      <c r="G74" s="149" t="s">
        <v>143</v>
      </c>
      <c r="H74" s="151" t="str">
        <f t="shared" si="6"/>
        <v>1996/01/20</v>
      </c>
      <c r="I74" s="149" t="s">
        <v>261</v>
      </c>
      <c r="J74" s="149" t="s">
        <v>823</v>
      </c>
      <c r="K74" s="101" t="str">
        <f t="shared" si="7"/>
        <v>96</v>
      </c>
      <c r="L74" s="101" t="str">
        <f t="shared" si="8"/>
        <v>01</v>
      </c>
      <c r="M74" s="101" t="str">
        <f t="shared" si="9"/>
        <v>20</v>
      </c>
    </row>
    <row r="75" spans="1:13">
      <c r="A75" t="str">
        <f t="shared" si="5"/>
        <v>島根大学2074男</v>
      </c>
      <c r="B75" s="149" t="s">
        <v>1062</v>
      </c>
      <c r="C75" s="149">
        <v>2074</v>
      </c>
      <c r="D75" s="149" t="s">
        <v>1101</v>
      </c>
      <c r="E75" s="149" t="s">
        <v>1102</v>
      </c>
      <c r="F75" s="149" t="s">
        <v>267</v>
      </c>
      <c r="G75" s="149" t="s">
        <v>143</v>
      </c>
      <c r="H75" s="151" t="str">
        <f t="shared" si="6"/>
        <v>1994/12/26</v>
      </c>
      <c r="I75" s="149" t="s">
        <v>301</v>
      </c>
      <c r="J75" s="149" t="s">
        <v>344</v>
      </c>
      <c r="K75" s="101" t="str">
        <f t="shared" si="7"/>
        <v>94</v>
      </c>
      <c r="L75" s="101" t="str">
        <f t="shared" si="8"/>
        <v>12</v>
      </c>
      <c r="M75" s="101" t="str">
        <f t="shared" si="9"/>
        <v>26</v>
      </c>
    </row>
    <row r="76" spans="1:13">
      <c r="A76" t="str">
        <f t="shared" si="5"/>
        <v>島根大学2075男</v>
      </c>
      <c r="B76" s="149" t="s">
        <v>1062</v>
      </c>
      <c r="C76" s="149">
        <v>2075</v>
      </c>
      <c r="D76" s="149" t="s">
        <v>1103</v>
      </c>
      <c r="E76" s="149" t="s">
        <v>1104</v>
      </c>
      <c r="F76" s="149" t="s">
        <v>267</v>
      </c>
      <c r="G76" s="149" t="s">
        <v>143</v>
      </c>
      <c r="H76" s="151" t="str">
        <f t="shared" si="6"/>
        <v>1995/04/23</v>
      </c>
      <c r="I76" s="149" t="s">
        <v>301</v>
      </c>
      <c r="J76" s="149" t="s">
        <v>615</v>
      </c>
      <c r="K76" s="101" t="str">
        <f t="shared" si="7"/>
        <v>95</v>
      </c>
      <c r="L76" s="101" t="str">
        <f t="shared" si="8"/>
        <v>04</v>
      </c>
      <c r="M76" s="101" t="str">
        <f t="shared" si="9"/>
        <v>23</v>
      </c>
    </row>
    <row r="77" spans="1:13">
      <c r="A77" t="str">
        <f t="shared" si="5"/>
        <v>島根大学2076男</v>
      </c>
      <c r="B77" s="149" t="s">
        <v>1062</v>
      </c>
      <c r="C77" s="149">
        <v>2076</v>
      </c>
      <c r="D77" s="149" t="s">
        <v>1105</v>
      </c>
      <c r="E77" s="149" t="s">
        <v>1106</v>
      </c>
      <c r="F77" s="149" t="s">
        <v>267</v>
      </c>
      <c r="G77" s="149" t="s">
        <v>143</v>
      </c>
      <c r="H77" s="151" t="str">
        <f t="shared" si="6"/>
        <v>1994/10/24</v>
      </c>
      <c r="I77" s="149" t="s">
        <v>301</v>
      </c>
      <c r="J77" s="149" t="s">
        <v>645</v>
      </c>
      <c r="K77" s="101" t="str">
        <f t="shared" si="7"/>
        <v>94</v>
      </c>
      <c r="L77" s="101" t="str">
        <f t="shared" si="8"/>
        <v>10</v>
      </c>
      <c r="M77" s="101" t="str">
        <f t="shared" si="9"/>
        <v>24</v>
      </c>
    </row>
    <row r="78" spans="1:13">
      <c r="A78" t="str">
        <f t="shared" si="5"/>
        <v>島根大学2077男</v>
      </c>
      <c r="B78" s="149" t="s">
        <v>1062</v>
      </c>
      <c r="C78" s="149">
        <v>2077</v>
      </c>
      <c r="D78" s="149" t="s">
        <v>1107</v>
      </c>
      <c r="E78" s="149" t="s">
        <v>1108</v>
      </c>
      <c r="F78" s="149" t="s">
        <v>267</v>
      </c>
      <c r="G78" s="149" t="s">
        <v>143</v>
      </c>
      <c r="H78" s="151" t="str">
        <f t="shared" si="6"/>
        <v>1995/10/26</v>
      </c>
      <c r="I78" s="149" t="s">
        <v>301</v>
      </c>
      <c r="J78" s="149" t="s">
        <v>623</v>
      </c>
      <c r="K78" s="101" t="str">
        <f t="shared" si="7"/>
        <v>95</v>
      </c>
      <c r="L78" s="101" t="str">
        <f t="shared" si="8"/>
        <v>10</v>
      </c>
      <c r="M78" s="101" t="str">
        <f t="shared" si="9"/>
        <v>26</v>
      </c>
    </row>
    <row r="79" spans="1:13">
      <c r="A79" t="str">
        <f t="shared" si="5"/>
        <v>島根大学2078男</v>
      </c>
      <c r="B79" s="149" t="s">
        <v>1062</v>
      </c>
      <c r="C79" s="149">
        <v>2078</v>
      </c>
      <c r="D79" s="149" t="s">
        <v>1109</v>
      </c>
      <c r="E79" s="149" t="s">
        <v>1110</v>
      </c>
      <c r="F79" s="149" t="s">
        <v>267</v>
      </c>
      <c r="G79" s="149" t="s">
        <v>143</v>
      </c>
      <c r="H79" s="151" t="str">
        <f t="shared" si="6"/>
        <v>1994/05/10</v>
      </c>
      <c r="I79" s="149" t="s">
        <v>301</v>
      </c>
      <c r="J79" s="149" t="s">
        <v>474</v>
      </c>
      <c r="K79" s="101" t="str">
        <f t="shared" si="7"/>
        <v>94</v>
      </c>
      <c r="L79" s="101" t="str">
        <f t="shared" si="8"/>
        <v>05</v>
      </c>
      <c r="M79" s="101" t="str">
        <f t="shared" si="9"/>
        <v>10</v>
      </c>
    </row>
    <row r="80" spans="1:13">
      <c r="A80" t="str">
        <f t="shared" si="5"/>
        <v>島根大学2079男</v>
      </c>
      <c r="B80" s="149" t="s">
        <v>1062</v>
      </c>
      <c r="C80" s="149">
        <v>2079</v>
      </c>
      <c r="D80" s="149" t="s">
        <v>1111</v>
      </c>
      <c r="E80" s="149" t="s">
        <v>1112</v>
      </c>
      <c r="F80" s="149" t="s">
        <v>267</v>
      </c>
      <c r="G80" s="149" t="s">
        <v>143</v>
      </c>
      <c r="H80" s="151" t="str">
        <f t="shared" si="6"/>
        <v>1995/08/07</v>
      </c>
      <c r="I80" s="149" t="s">
        <v>301</v>
      </c>
      <c r="J80" s="149" t="s">
        <v>412</v>
      </c>
      <c r="K80" s="101" t="str">
        <f t="shared" si="7"/>
        <v>95</v>
      </c>
      <c r="L80" s="101" t="str">
        <f t="shared" si="8"/>
        <v>08</v>
      </c>
      <c r="M80" s="101" t="str">
        <f t="shared" si="9"/>
        <v>07</v>
      </c>
    </row>
    <row r="81" spans="1:13">
      <c r="A81" t="str">
        <f t="shared" si="5"/>
        <v>島根大学2080男</v>
      </c>
      <c r="B81" s="149" t="s">
        <v>1062</v>
      </c>
      <c r="C81" s="149">
        <v>2080</v>
      </c>
      <c r="D81" s="149" t="s">
        <v>1113</v>
      </c>
      <c r="E81" s="149" t="s">
        <v>1114</v>
      </c>
      <c r="F81" s="149" t="s">
        <v>267</v>
      </c>
      <c r="G81" s="149" t="s">
        <v>143</v>
      </c>
      <c r="H81" s="151" t="str">
        <f t="shared" si="6"/>
        <v>1995/04/19</v>
      </c>
      <c r="I81" s="149" t="s">
        <v>299</v>
      </c>
      <c r="J81" s="149" t="s">
        <v>3672</v>
      </c>
      <c r="K81" s="101" t="str">
        <f t="shared" si="7"/>
        <v>95</v>
      </c>
      <c r="L81" s="101" t="str">
        <f t="shared" si="8"/>
        <v>04</v>
      </c>
      <c r="M81" s="101" t="str">
        <f t="shared" si="9"/>
        <v>19</v>
      </c>
    </row>
    <row r="82" spans="1:13">
      <c r="A82" t="str">
        <f t="shared" si="5"/>
        <v>島根大学2081男</v>
      </c>
      <c r="B82" s="149" t="s">
        <v>1062</v>
      </c>
      <c r="C82" s="149">
        <v>2081</v>
      </c>
      <c r="D82" s="149" t="s">
        <v>1115</v>
      </c>
      <c r="E82" s="149" t="s">
        <v>1116</v>
      </c>
      <c r="F82" s="149" t="s">
        <v>267</v>
      </c>
      <c r="G82" s="149" t="s">
        <v>143</v>
      </c>
      <c r="H82" s="151" t="str">
        <f t="shared" si="6"/>
        <v>1995/09/14</v>
      </c>
      <c r="I82" s="149" t="s">
        <v>301</v>
      </c>
      <c r="J82" s="149" t="s">
        <v>3673</v>
      </c>
      <c r="K82" s="101" t="str">
        <f t="shared" si="7"/>
        <v>95</v>
      </c>
      <c r="L82" s="101" t="str">
        <f t="shared" si="8"/>
        <v>09</v>
      </c>
      <c r="M82" s="101" t="str">
        <f t="shared" si="9"/>
        <v>14</v>
      </c>
    </row>
    <row r="83" spans="1:13">
      <c r="A83" t="str">
        <f t="shared" si="5"/>
        <v>島根大学2082男</v>
      </c>
      <c r="B83" s="149" t="s">
        <v>1062</v>
      </c>
      <c r="C83" s="149">
        <v>2082</v>
      </c>
      <c r="D83" s="149" t="s">
        <v>1117</v>
      </c>
      <c r="E83" s="149" t="s">
        <v>1118</v>
      </c>
      <c r="F83" s="149" t="s">
        <v>267</v>
      </c>
      <c r="G83" s="149" t="s">
        <v>143</v>
      </c>
      <c r="H83" s="151" t="str">
        <f t="shared" si="6"/>
        <v>1995/08/28</v>
      </c>
      <c r="I83" s="149" t="s">
        <v>276</v>
      </c>
      <c r="J83" s="149" t="s">
        <v>667</v>
      </c>
      <c r="K83" s="101" t="str">
        <f t="shared" si="7"/>
        <v>95</v>
      </c>
      <c r="L83" s="101" t="str">
        <f t="shared" si="8"/>
        <v>08</v>
      </c>
      <c r="M83" s="101" t="str">
        <f t="shared" si="9"/>
        <v>28</v>
      </c>
    </row>
    <row r="84" spans="1:13">
      <c r="A84" t="str">
        <f t="shared" si="5"/>
        <v>倉敷芸術科学大学2083男</v>
      </c>
      <c r="B84" s="149" t="s">
        <v>1119</v>
      </c>
      <c r="C84" s="149">
        <v>2083</v>
      </c>
      <c r="D84" s="149" t="s">
        <v>1120</v>
      </c>
      <c r="E84" s="149" t="s">
        <v>1121</v>
      </c>
      <c r="F84" s="149" t="s">
        <v>262</v>
      </c>
      <c r="G84" s="149" t="s">
        <v>143</v>
      </c>
      <c r="H84" s="151" t="str">
        <f t="shared" si="6"/>
        <v>1991/11/08</v>
      </c>
      <c r="I84" s="149" t="s">
        <v>301</v>
      </c>
      <c r="J84" s="149" t="s">
        <v>3674</v>
      </c>
      <c r="K84" s="101" t="str">
        <f t="shared" si="7"/>
        <v>91</v>
      </c>
      <c r="L84" s="101" t="str">
        <f t="shared" si="8"/>
        <v>11</v>
      </c>
      <c r="M84" s="101" t="str">
        <f t="shared" si="9"/>
        <v>08</v>
      </c>
    </row>
    <row r="85" spans="1:13">
      <c r="A85" t="str">
        <f t="shared" si="5"/>
        <v>倉敷芸術科学大学2084男</v>
      </c>
      <c r="B85" s="149" t="s">
        <v>1119</v>
      </c>
      <c r="C85" s="149">
        <v>2084</v>
      </c>
      <c r="D85" s="149" t="s">
        <v>1122</v>
      </c>
      <c r="E85" s="149" t="s">
        <v>1123</v>
      </c>
      <c r="F85" s="149" t="s">
        <v>264</v>
      </c>
      <c r="G85" s="149" t="s">
        <v>143</v>
      </c>
      <c r="H85" s="151" t="str">
        <f t="shared" si="6"/>
        <v>1992/12/23</v>
      </c>
      <c r="I85" s="149" t="s">
        <v>299</v>
      </c>
      <c r="J85" s="149" t="s">
        <v>3675</v>
      </c>
      <c r="K85" s="101" t="str">
        <f t="shared" si="7"/>
        <v>92</v>
      </c>
      <c r="L85" s="101" t="str">
        <f t="shared" si="8"/>
        <v>12</v>
      </c>
      <c r="M85" s="101" t="str">
        <f t="shared" si="9"/>
        <v>23</v>
      </c>
    </row>
    <row r="86" spans="1:13">
      <c r="A86" t="str">
        <f t="shared" si="5"/>
        <v>倉敷芸術科学大学2085男</v>
      </c>
      <c r="B86" s="149" t="s">
        <v>1119</v>
      </c>
      <c r="C86" s="149">
        <v>2085</v>
      </c>
      <c r="D86" s="149" t="s">
        <v>1124</v>
      </c>
      <c r="E86" s="149" t="s">
        <v>1125</v>
      </c>
      <c r="F86" s="149" t="s">
        <v>260</v>
      </c>
      <c r="G86" s="149" t="s">
        <v>143</v>
      </c>
      <c r="H86" s="151" t="str">
        <f t="shared" si="6"/>
        <v>1993/10/02</v>
      </c>
      <c r="I86" s="149" t="s">
        <v>299</v>
      </c>
      <c r="J86" s="149" t="s">
        <v>831</v>
      </c>
      <c r="K86" s="101" t="str">
        <f t="shared" si="7"/>
        <v>93</v>
      </c>
      <c r="L86" s="101" t="str">
        <f t="shared" si="8"/>
        <v>10</v>
      </c>
      <c r="M86" s="101" t="str">
        <f t="shared" si="9"/>
        <v>02</v>
      </c>
    </row>
    <row r="87" spans="1:13">
      <c r="A87" t="str">
        <f t="shared" si="5"/>
        <v>倉敷芸術科学大学2086男</v>
      </c>
      <c r="B87" s="149" t="s">
        <v>1119</v>
      </c>
      <c r="C87" s="149">
        <v>2086</v>
      </c>
      <c r="D87" s="149" t="s">
        <v>1126</v>
      </c>
      <c r="E87" s="149" t="s">
        <v>316</v>
      </c>
      <c r="F87" s="149" t="s">
        <v>265</v>
      </c>
      <c r="G87" s="149" t="s">
        <v>143</v>
      </c>
      <c r="H87" s="151" t="str">
        <f t="shared" si="6"/>
        <v>1994/04/07</v>
      </c>
      <c r="I87" s="149" t="s">
        <v>299</v>
      </c>
      <c r="J87" s="149" t="s">
        <v>3676</v>
      </c>
      <c r="K87" s="101" t="str">
        <f t="shared" si="7"/>
        <v>94</v>
      </c>
      <c r="L87" s="101" t="str">
        <f t="shared" si="8"/>
        <v>04</v>
      </c>
      <c r="M87" s="101" t="str">
        <f t="shared" si="9"/>
        <v>07</v>
      </c>
    </row>
    <row r="88" spans="1:13">
      <c r="A88" t="str">
        <f t="shared" si="5"/>
        <v>倉敷芸術科学大学2087男</v>
      </c>
      <c r="B88" s="149" t="s">
        <v>1119</v>
      </c>
      <c r="C88" s="149">
        <v>2087</v>
      </c>
      <c r="D88" s="149" t="s">
        <v>1127</v>
      </c>
      <c r="E88" s="149" t="s">
        <v>1128</v>
      </c>
      <c r="F88" s="149" t="s">
        <v>265</v>
      </c>
      <c r="G88" s="149" t="s">
        <v>143</v>
      </c>
      <c r="H88" s="151" t="str">
        <f t="shared" si="6"/>
        <v>1995/01/02</v>
      </c>
      <c r="I88" s="149" t="s">
        <v>299</v>
      </c>
      <c r="J88" s="149" t="s">
        <v>3677</v>
      </c>
      <c r="K88" s="101" t="str">
        <f t="shared" si="7"/>
        <v>95</v>
      </c>
      <c r="L88" s="101" t="str">
        <f t="shared" si="8"/>
        <v>01</v>
      </c>
      <c r="M88" s="101" t="str">
        <f t="shared" si="9"/>
        <v>02</v>
      </c>
    </row>
    <row r="89" spans="1:13">
      <c r="A89" t="str">
        <f t="shared" si="5"/>
        <v>倉敷芸術科学大学2088男</v>
      </c>
      <c r="B89" s="149" t="s">
        <v>1119</v>
      </c>
      <c r="C89" s="149">
        <v>2088</v>
      </c>
      <c r="D89" s="149" t="s">
        <v>1129</v>
      </c>
      <c r="E89" s="149" t="s">
        <v>1130</v>
      </c>
      <c r="F89" s="149" t="s">
        <v>265</v>
      </c>
      <c r="G89" s="149" t="s">
        <v>143</v>
      </c>
      <c r="H89" s="151" t="str">
        <f t="shared" si="6"/>
        <v>1994/12/23</v>
      </c>
      <c r="I89" s="149" t="s">
        <v>299</v>
      </c>
      <c r="J89" s="149" t="s">
        <v>945</v>
      </c>
      <c r="K89" s="101" t="str">
        <f t="shared" si="7"/>
        <v>94</v>
      </c>
      <c r="L89" s="101" t="str">
        <f t="shared" si="8"/>
        <v>12</v>
      </c>
      <c r="M89" s="101" t="str">
        <f t="shared" si="9"/>
        <v>23</v>
      </c>
    </row>
    <row r="90" spans="1:13">
      <c r="A90" t="str">
        <f t="shared" si="5"/>
        <v>弓削商船高等専門学校2089男</v>
      </c>
      <c r="B90" s="149" t="s">
        <v>1131</v>
      </c>
      <c r="C90" s="149">
        <v>2089</v>
      </c>
      <c r="D90" s="149" t="s">
        <v>1132</v>
      </c>
      <c r="E90" s="149" t="s">
        <v>1133</v>
      </c>
      <c r="F90" s="149" t="s">
        <v>280</v>
      </c>
      <c r="G90" s="149" t="s">
        <v>143</v>
      </c>
      <c r="H90" s="151" t="str">
        <f t="shared" si="6"/>
        <v>1996/11/29</v>
      </c>
      <c r="I90" s="149" t="s">
        <v>281</v>
      </c>
      <c r="J90" s="149" t="s">
        <v>745</v>
      </c>
      <c r="K90" s="101" t="str">
        <f t="shared" si="7"/>
        <v>96</v>
      </c>
      <c r="L90" s="101" t="str">
        <f t="shared" si="8"/>
        <v>11</v>
      </c>
      <c r="M90" s="101" t="str">
        <f t="shared" si="9"/>
        <v>29</v>
      </c>
    </row>
    <row r="91" spans="1:13">
      <c r="A91" t="str">
        <f t="shared" si="5"/>
        <v>弓削商船高等専門学校2090男</v>
      </c>
      <c r="B91" s="149" t="s">
        <v>1131</v>
      </c>
      <c r="C91" s="149">
        <v>2090</v>
      </c>
      <c r="D91" s="149" t="s">
        <v>1134</v>
      </c>
      <c r="E91" s="149" t="s">
        <v>1135</v>
      </c>
      <c r="F91" s="149" t="s">
        <v>280</v>
      </c>
      <c r="G91" s="149" t="s">
        <v>143</v>
      </c>
      <c r="H91" s="151" t="str">
        <f t="shared" si="6"/>
        <v>1996/08/18</v>
      </c>
      <c r="I91" s="149" t="s">
        <v>281</v>
      </c>
      <c r="J91" s="149" t="s">
        <v>816</v>
      </c>
      <c r="K91" s="101" t="str">
        <f t="shared" si="7"/>
        <v>96</v>
      </c>
      <c r="L91" s="101" t="str">
        <f t="shared" si="8"/>
        <v>08</v>
      </c>
      <c r="M91" s="101" t="str">
        <f t="shared" si="9"/>
        <v>18</v>
      </c>
    </row>
    <row r="92" spans="1:13">
      <c r="A92" t="str">
        <f t="shared" si="5"/>
        <v>弓削商船高等専門学校2091男</v>
      </c>
      <c r="B92" s="149" t="s">
        <v>1131</v>
      </c>
      <c r="C92" s="149">
        <v>2091</v>
      </c>
      <c r="D92" s="149" t="s">
        <v>1136</v>
      </c>
      <c r="E92" s="149" t="s">
        <v>1137</v>
      </c>
      <c r="F92" s="149" t="s">
        <v>267</v>
      </c>
      <c r="G92" s="149" t="s">
        <v>143</v>
      </c>
      <c r="H92" s="151" t="str">
        <f t="shared" si="6"/>
        <v>1995/08/18</v>
      </c>
      <c r="I92" s="149" t="s">
        <v>281</v>
      </c>
      <c r="J92" s="149" t="s">
        <v>490</v>
      </c>
      <c r="K92" s="101" t="str">
        <f t="shared" si="7"/>
        <v>95</v>
      </c>
      <c r="L92" s="101" t="str">
        <f t="shared" si="8"/>
        <v>08</v>
      </c>
      <c r="M92" s="101" t="str">
        <f t="shared" si="9"/>
        <v>18</v>
      </c>
    </row>
    <row r="93" spans="1:13">
      <c r="A93" t="str">
        <f t="shared" si="5"/>
        <v>弓削商船高等専門学校2092男</v>
      </c>
      <c r="B93" s="149" t="s">
        <v>1131</v>
      </c>
      <c r="C93" s="149">
        <v>2092</v>
      </c>
      <c r="D93" s="149" t="s">
        <v>1138</v>
      </c>
      <c r="E93" s="149" t="s">
        <v>1139</v>
      </c>
      <c r="F93" s="149" t="s">
        <v>280</v>
      </c>
      <c r="G93" s="149" t="s">
        <v>143</v>
      </c>
      <c r="H93" s="151" t="str">
        <f t="shared" si="6"/>
        <v>1996/08/27</v>
      </c>
      <c r="I93" s="149" t="s">
        <v>281</v>
      </c>
      <c r="J93" s="149" t="s">
        <v>739</v>
      </c>
      <c r="K93" s="101" t="str">
        <f t="shared" si="7"/>
        <v>96</v>
      </c>
      <c r="L93" s="101" t="str">
        <f t="shared" si="8"/>
        <v>08</v>
      </c>
      <c r="M93" s="101" t="str">
        <f t="shared" si="9"/>
        <v>27</v>
      </c>
    </row>
    <row r="94" spans="1:13">
      <c r="A94" t="str">
        <f t="shared" si="5"/>
        <v>弓削商船高等専門学校2093男</v>
      </c>
      <c r="B94" s="149" t="s">
        <v>1131</v>
      </c>
      <c r="C94" s="149">
        <v>2093</v>
      </c>
      <c r="D94" s="149" t="s">
        <v>1140</v>
      </c>
      <c r="E94" s="149" t="s">
        <v>1141</v>
      </c>
      <c r="F94" s="149" t="s">
        <v>280</v>
      </c>
      <c r="G94" s="149" t="s">
        <v>143</v>
      </c>
      <c r="H94" s="151" t="str">
        <f t="shared" si="6"/>
        <v>1996/12/30</v>
      </c>
      <c r="I94" s="149" t="s">
        <v>281</v>
      </c>
      <c r="J94" s="149" t="s">
        <v>766</v>
      </c>
      <c r="K94" s="101" t="str">
        <f t="shared" si="7"/>
        <v>96</v>
      </c>
      <c r="L94" s="101" t="str">
        <f t="shared" si="8"/>
        <v>12</v>
      </c>
      <c r="M94" s="101" t="str">
        <f t="shared" si="9"/>
        <v>30</v>
      </c>
    </row>
    <row r="95" spans="1:13">
      <c r="A95" t="str">
        <f t="shared" si="5"/>
        <v>広島工業大学2094男</v>
      </c>
      <c r="B95" s="149" t="s">
        <v>1142</v>
      </c>
      <c r="C95" s="149">
        <v>2094</v>
      </c>
      <c r="D95" s="149" t="s">
        <v>1143</v>
      </c>
      <c r="E95" s="149" t="s">
        <v>1144</v>
      </c>
      <c r="F95" s="149" t="s">
        <v>267</v>
      </c>
      <c r="G95" s="149" t="s">
        <v>143</v>
      </c>
      <c r="H95" s="151" t="str">
        <f t="shared" si="6"/>
        <v>1995/07/22</v>
      </c>
      <c r="I95" s="149" t="s">
        <v>295</v>
      </c>
      <c r="J95" s="149" t="s">
        <v>3678</v>
      </c>
      <c r="K95" s="101" t="str">
        <f t="shared" si="7"/>
        <v>95</v>
      </c>
      <c r="L95" s="101" t="str">
        <f t="shared" si="8"/>
        <v>07</v>
      </c>
      <c r="M95" s="101" t="str">
        <f t="shared" si="9"/>
        <v>22</v>
      </c>
    </row>
    <row r="96" spans="1:13">
      <c r="A96" t="str">
        <f t="shared" si="5"/>
        <v>広島工業大学2095男</v>
      </c>
      <c r="B96" s="149" t="s">
        <v>1142</v>
      </c>
      <c r="C96" s="149">
        <v>2095</v>
      </c>
      <c r="D96" s="149" t="s">
        <v>1145</v>
      </c>
      <c r="E96" s="149" t="s">
        <v>1146</v>
      </c>
      <c r="F96" s="149" t="s">
        <v>265</v>
      </c>
      <c r="G96" s="149" t="s">
        <v>143</v>
      </c>
      <c r="H96" s="151" t="str">
        <f t="shared" si="6"/>
        <v>1995/02/27</v>
      </c>
      <c r="I96" s="149" t="s">
        <v>295</v>
      </c>
      <c r="J96" s="149" t="s">
        <v>3679</v>
      </c>
      <c r="K96" s="101" t="str">
        <f t="shared" si="7"/>
        <v>95</v>
      </c>
      <c r="L96" s="101" t="str">
        <f t="shared" si="8"/>
        <v>02</v>
      </c>
      <c r="M96" s="101" t="str">
        <f t="shared" si="9"/>
        <v>27</v>
      </c>
    </row>
    <row r="97" spans="1:13">
      <c r="A97" t="str">
        <f t="shared" si="5"/>
        <v>広島工業大学2096男</v>
      </c>
      <c r="B97" s="149" t="s">
        <v>1142</v>
      </c>
      <c r="C97" s="149">
        <v>2096</v>
      </c>
      <c r="D97" s="149" t="s">
        <v>1147</v>
      </c>
      <c r="E97" s="149" t="s">
        <v>1148</v>
      </c>
      <c r="F97" s="149" t="s">
        <v>267</v>
      </c>
      <c r="G97" s="149" t="s">
        <v>143</v>
      </c>
      <c r="H97" s="151" t="str">
        <f t="shared" si="6"/>
        <v>1995/05/20</v>
      </c>
      <c r="I97" s="149" t="s">
        <v>295</v>
      </c>
      <c r="J97" s="149" t="s">
        <v>489</v>
      </c>
      <c r="K97" s="101" t="str">
        <f t="shared" si="7"/>
        <v>95</v>
      </c>
      <c r="L97" s="101" t="str">
        <f t="shared" si="8"/>
        <v>05</v>
      </c>
      <c r="M97" s="101" t="str">
        <f t="shared" si="9"/>
        <v>20</v>
      </c>
    </row>
    <row r="98" spans="1:13">
      <c r="A98" t="str">
        <f t="shared" si="5"/>
        <v>広島工業大学2097男</v>
      </c>
      <c r="B98" s="149" t="s">
        <v>1142</v>
      </c>
      <c r="C98" s="149">
        <v>2097</v>
      </c>
      <c r="D98" s="149" t="s">
        <v>1149</v>
      </c>
      <c r="E98" s="149" t="s">
        <v>1150</v>
      </c>
      <c r="F98" s="149" t="s">
        <v>267</v>
      </c>
      <c r="G98" s="149" t="s">
        <v>143</v>
      </c>
      <c r="H98" s="151" t="str">
        <f t="shared" si="6"/>
        <v>1995/09/01</v>
      </c>
      <c r="I98" s="149" t="s">
        <v>295</v>
      </c>
      <c r="J98" s="149" t="s">
        <v>3680</v>
      </c>
      <c r="K98" s="101" t="str">
        <f t="shared" si="7"/>
        <v>95</v>
      </c>
      <c r="L98" s="101" t="str">
        <f t="shared" si="8"/>
        <v>09</v>
      </c>
      <c r="M98" s="101" t="str">
        <f t="shared" si="9"/>
        <v>01</v>
      </c>
    </row>
    <row r="99" spans="1:13">
      <c r="A99" t="str">
        <f t="shared" si="5"/>
        <v>広島工業大学2098男</v>
      </c>
      <c r="B99" s="149" t="s">
        <v>1142</v>
      </c>
      <c r="C99" s="149">
        <v>2098</v>
      </c>
      <c r="D99" s="149" t="s">
        <v>1151</v>
      </c>
      <c r="E99" s="149" t="s">
        <v>1152</v>
      </c>
      <c r="F99" s="149" t="s">
        <v>267</v>
      </c>
      <c r="G99" s="149" t="s">
        <v>143</v>
      </c>
      <c r="H99" s="151" t="str">
        <f t="shared" si="6"/>
        <v>1996/01/26</v>
      </c>
      <c r="I99" s="149" t="s">
        <v>295</v>
      </c>
      <c r="J99" s="149" t="s">
        <v>429</v>
      </c>
      <c r="K99" s="101" t="str">
        <f t="shared" si="7"/>
        <v>96</v>
      </c>
      <c r="L99" s="101" t="str">
        <f t="shared" si="8"/>
        <v>01</v>
      </c>
      <c r="M99" s="101" t="str">
        <f t="shared" si="9"/>
        <v>26</v>
      </c>
    </row>
    <row r="100" spans="1:13">
      <c r="A100" t="str">
        <f t="shared" si="5"/>
        <v>広島工業大学2099男</v>
      </c>
      <c r="B100" s="149" t="s">
        <v>1142</v>
      </c>
      <c r="C100" s="149">
        <v>2099</v>
      </c>
      <c r="D100" s="149" t="s">
        <v>1153</v>
      </c>
      <c r="E100" s="149" t="s">
        <v>1154</v>
      </c>
      <c r="F100" s="149" t="s">
        <v>260</v>
      </c>
      <c r="G100" s="149" t="s">
        <v>143</v>
      </c>
      <c r="H100" s="151" t="str">
        <f t="shared" si="6"/>
        <v>1994/03/03</v>
      </c>
      <c r="I100" s="149" t="s">
        <v>295</v>
      </c>
      <c r="J100" s="149" t="s">
        <v>3681</v>
      </c>
      <c r="K100" s="101" t="str">
        <f t="shared" si="7"/>
        <v>94</v>
      </c>
      <c r="L100" s="101" t="str">
        <f t="shared" si="8"/>
        <v>03</v>
      </c>
      <c r="M100" s="101" t="str">
        <f t="shared" si="9"/>
        <v>03</v>
      </c>
    </row>
    <row r="101" spans="1:13">
      <c r="A101" t="str">
        <f t="shared" si="5"/>
        <v>広島工業大学2100男</v>
      </c>
      <c r="B101" s="149" t="s">
        <v>1142</v>
      </c>
      <c r="C101" s="149">
        <v>2100</v>
      </c>
      <c r="D101" s="149" t="s">
        <v>1155</v>
      </c>
      <c r="E101" s="149" t="s">
        <v>1156</v>
      </c>
      <c r="F101" s="149" t="s">
        <v>267</v>
      </c>
      <c r="G101" s="149" t="s">
        <v>143</v>
      </c>
      <c r="H101" s="151" t="str">
        <f t="shared" si="6"/>
        <v>1995/11/25</v>
      </c>
      <c r="I101" s="149" t="s">
        <v>295</v>
      </c>
      <c r="J101" s="149" t="s">
        <v>433</v>
      </c>
      <c r="K101" s="101" t="str">
        <f t="shared" si="7"/>
        <v>95</v>
      </c>
      <c r="L101" s="101" t="str">
        <f t="shared" si="8"/>
        <v>11</v>
      </c>
      <c r="M101" s="101" t="str">
        <f t="shared" si="9"/>
        <v>25</v>
      </c>
    </row>
    <row r="102" spans="1:13">
      <c r="A102" t="str">
        <f t="shared" si="5"/>
        <v>広島工業大学2101男</v>
      </c>
      <c r="B102" s="149" t="s">
        <v>1142</v>
      </c>
      <c r="C102" s="149">
        <v>2101</v>
      </c>
      <c r="D102" s="149" t="s">
        <v>1157</v>
      </c>
      <c r="E102" s="149" t="s">
        <v>1158</v>
      </c>
      <c r="F102" s="149" t="s">
        <v>267</v>
      </c>
      <c r="G102" s="149" t="s">
        <v>143</v>
      </c>
      <c r="H102" s="151" t="str">
        <f t="shared" si="6"/>
        <v>1995/04/04</v>
      </c>
      <c r="I102" s="149" t="s">
        <v>295</v>
      </c>
      <c r="J102" s="149" t="s">
        <v>409</v>
      </c>
      <c r="K102" s="101" t="str">
        <f t="shared" si="7"/>
        <v>95</v>
      </c>
      <c r="L102" s="101" t="str">
        <f t="shared" si="8"/>
        <v>04</v>
      </c>
      <c r="M102" s="101" t="str">
        <f t="shared" si="9"/>
        <v>04</v>
      </c>
    </row>
    <row r="103" spans="1:13">
      <c r="A103" t="str">
        <f t="shared" si="5"/>
        <v>広島工業大学2102男</v>
      </c>
      <c r="B103" s="149" t="s">
        <v>1142</v>
      </c>
      <c r="C103" s="149">
        <v>2102</v>
      </c>
      <c r="D103" s="149" t="s">
        <v>1159</v>
      </c>
      <c r="E103" s="149" t="s">
        <v>1160</v>
      </c>
      <c r="F103" s="149" t="s">
        <v>267</v>
      </c>
      <c r="G103" s="149" t="s">
        <v>143</v>
      </c>
      <c r="H103" s="151" t="str">
        <f t="shared" si="6"/>
        <v>1995/08/04</v>
      </c>
      <c r="I103" s="149" t="s">
        <v>295</v>
      </c>
      <c r="J103" s="149" t="s">
        <v>895</v>
      </c>
      <c r="K103" s="101" t="str">
        <f t="shared" si="7"/>
        <v>95</v>
      </c>
      <c r="L103" s="101" t="str">
        <f t="shared" si="8"/>
        <v>08</v>
      </c>
      <c r="M103" s="101" t="str">
        <f t="shared" si="9"/>
        <v>04</v>
      </c>
    </row>
    <row r="104" spans="1:13">
      <c r="A104" t="str">
        <f t="shared" si="5"/>
        <v>広島工業大学2103男</v>
      </c>
      <c r="B104" s="149" t="s">
        <v>1142</v>
      </c>
      <c r="C104" s="149">
        <v>2103</v>
      </c>
      <c r="D104" s="149" t="s">
        <v>1161</v>
      </c>
      <c r="E104" s="149" t="s">
        <v>1162</v>
      </c>
      <c r="F104" s="149" t="s">
        <v>267</v>
      </c>
      <c r="G104" s="149" t="s">
        <v>143</v>
      </c>
      <c r="H104" s="151" t="str">
        <f t="shared" si="6"/>
        <v>1996/02/12</v>
      </c>
      <c r="I104" s="149" t="s">
        <v>295</v>
      </c>
      <c r="J104" s="149" t="s">
        <v>414</v>
      </c>
      <c r="K104" s="101" t="str">
        <f t="shared" si="7"/>
        <v>96</v>
      </c>
      <c r="L104" s="101" t="str">
        <f t="shared" si="8"/>
        <v>02</v>
      </c>
      <c r="M104" s="101" t="str">
        <f t="shared" si="9"/>
        <v>12</v>
      </c>
    </row>
    <row r="105" spans="1:13">
      <c r="A105" t="str">
        <f t="shared" si="5"/>
        <v>広島工業大学2104男</v>
      </c>
      <c r="B105" s="149" t="s">
        <v>1142</v>
      </c>
      <c r="C105" s="149">
        <v>2104</v>
      </c>
      <c r="D105" s="149" t="s">
        <v>1163</v>
      </c>
      <c r="E105" s="149" t="s">
        <v>1164</v>
      </c>
      <c r="F105" s="149" t="s">
        <v>267</v>
      </c>
      <c r="G105" s="149" t="s">
        <v>143</v>
      </c>
      <c r="H105" s="151" t="str">
        <f t="shared" si="6"/>
        <v>1995/06/24</v>
      </c>
      <c r="I105" s="149" t="s">
        <v>295</v>
      </c>
      <c r="J105" s="149" t="s">
        <v>447</v>
      </c>
      <c r="K105" s="101" t="str">
        <f t="shared" si="7"/>
        <v>95</v>
      </c>
      <c r="L105" s="101" t="str">
        <f t="shared" si="8"/>
        <v>06</v>
      </c>
      <c r="M105" s="101" t="str">
        <f t="shared" si="9"/>
        <v>24</v>
      </c>
    </row>
    <row r="106" spans="1:13">
      <c r="A106" t="str">
        <f t="shared" si="5"/>
        <v>広島工業大学2105男</v>
      </c>
      <c r="B106" s="149" t="s">
        <v>1142</v>
      </c>
      <c r="C106" s="149">
        <v>2105</v>
      </c>
      <c r="D106" s="149" t="s">
        <v>1165</v>
      </c>
      <c r="E106" s="149" t="s">
        <v>1166</v>
      </c>
      <c r="F106" s="149" t="s">
        <v>267</v>
      </c>
      <c r="G106" s="149" t="s">
        <v>143</v>
      </c>
      <c r="H106" s="151" t="str">
        <f t="shared" si="6"/>
        <v>1996/03/02</v>
      </c>
      <c r="I106" s="149" t="s">
        <v>295</v>
      </c>
      <c r="J106" s="149" t="s">
        <v>3682</v>
      </c>
      <c r="K106" s="101" t="str">
        <f t="shared" si="7"/>
        <v>96</v>
      </c>
      <c r="L106" s="101" t="str">
        <f t="shared" si="8"/>
        <v>03</v>
      </c>
      <c r="M106" s="101" t="str">
        <f t="shared" si="9"/>
        <v>02</v>
      </c>
    </row>
    <row r="107" spans="1:13">
      <c r="A107" t="str">
        <f t="shared" si="5"/>
        <v>広島工業大学2106男</v>
      </c>
      <c r="B107" s="149" t="s">
        <v>1142</v>
      </c>
      <c r="C107" s="149">
        <v>2106</v>
      </c>
      <c r="D107" s="149" t="s">
        <v>1167</v>
      </c>
      <c r="E107" s="149" t="s">
        <v>1168</v>
      </c>
      <c r="F107" s="149" t="s">
        <v>267</v>
      </c>
      <c r="G107" s="149" t="s">
        <v>143</v>
      </c>
      <c r="H107" s="151" t="str">
        <f t="shared" si="6"/>
        <v>1996/02/05</v>
      </c>
      <c r="I107" s="149" t="s">
        <v>295</v>
      </c>
      <c r="J107" s="149" t="s">
        <v>503</v>
      </c>
      <c r="K107" s="101" t="str">
        <f t="shared" si="7"/>
        <v>96</v>
      </c>
      <c r="L107" s="101" t="str">
        <f t="shared" si="8"/>
        <v>02</v>
      </c>
      <c r="M107" s="101" t="str">
        <f t="shared" si="9"/>
        <v>05</v>
      </c>
    </row>
    <row r="108" spans="1:13">
      <c r="A108" t="str">
        <f t="shared" si="5"/>
        <v>広島工業大学2107男</v>
      </c>
      <c r="B108" s="149" t="s">
        <v>1142</v>
      </c>
      <c r="C108" s="149">
        <v>2107</v>
      </c>
      <c r="D108" s="149" t="s">
        <v>1169</v>
      </c>
      <c r="E108" s="149" t="s">
        <v>1170</v>
      </c>
      <c r="F108" s="149" t="s">
        <v>267</v>
      </c>
      <c r="G108" s="149" t="s">
        <v>143</v>
      </c>
      <c r="H108" s="151" t="str">
        <f t="shared" si="6"/>
        <v>1995/09/06</v>
      </c>
      <c r="I108" s="149" t="s">
        <v>295</v>
      </c>
      <c r="J108" s="149" t="s">
        <v>897</v>
      </c>
      <c r="K108" s="101" t="str">
        <f t="shared" si="7"/>
        <v>95</v>
      </c>
      <c r="L108" s="101" t="str">
        <f t="shared" si="8"/>
        <v>09</v>
      </c>
      <c r="M108" s="101" t="str">
        <f t="shared" si="9"/>
        <v>06</v>
      </c>
    </row>
    <row r="109" spans="1:13">
      <c r="A109" t="str">
        <f t="shared" si="5"/>
        <v>広島工業大学2108男</v>
      </c>
      <c r="B109" s="149" t="s">
        <v>1142</v>
      </c>
      <c r="C109" s="149">
        <v>2108</v>
      </c>
      <c r="D109" s="149" t="s">
        <v>1171</v>
      </c>
      <c r="E109" s="149" t="s">
        <v>1172</v>
      </c>
      <c r="F109" s="149" t="s">
        <v>267</v>
      </c>
      <c r="G109" s="149" t="s">
        <v>143</v>
      </c>
      <c r="H109" s="151" t="str">
        <f t="shared" si="6"/>
        <v>1995/06/16</v>
      </c>
      <c r="I109" s="149" t="s">
        <v>295</v>
      </c>
      <c r="J109" s="149" t="s">
        <v>869</v>
      </c>
      <c r="K109" s="101" t="str">
        <f t="shared" si="7"/>
        <v>95</v>
      </c>
      <c r="L109" s="101" t="str">
        <f t="shared" si="8"/>
        <v>06</v>
      </c>
      <c r="M109" s="101" t="str">
        <f t="shared" si="9"/>
        <v>16</v>
      </c>
    </row>
    <row r="110" spans="1:13">
      <c r="A110" t="str">
        <f t="shared" si="5"/>
        <v>広島工業大学2109男</v>
      </c>
      <c r="B110" s="149" t="s">
        <v>1142</v>
      </c>
      <c r="C110" s="149">
        <v>2109</v>
      </c>
      <c r="D110" s="149" t="s">
        <v>1173</v>
      </c>
      <c r="E110" s="149" t="s">
        <v>1174</v>
      </c>
      <c r="F110" s="149" t="s">
        <v>260</v>
      </c>
      <c r="G110" s="149" t="s">
        <v>143</v>
      </c>
      <c r="H110" s="151" t="str">
        <f t="shared" si="6"/>
        <v>1993/05/30</v>
      </c>
      <c r="I110" s="149" t="s">
        <v>295</v>
      </c>
      <c r="J110" s="149" t="s">
        <v>325</v>
      </c>
      <c r="K110" s="101" t="str">
        <f t="shared" si="7"/>
        <v>93</v>
      </c>
      <c r="L110" s="101" t="str">
        <f t="shared" si="8"/>
        <v>05</v>
      </c>
      <c r="M110" s="101" t="str">
        <f t="shared" si="9"/>
        <v>30</v>
      </c>
    </row>
    <row r="111" spans="1:13">
      <c r="A111" t="str">
        <f t="shared" si="5"/>
        <v>広島工業大学2110男</v>
      </c>
      <c r="B111" s="149" t="s">
        <v>1142</v>
      </c>
      <c r="C111" s="149">
        <v>2110</v>
      </c>
      <c r="D111" s="149" t="s">
        <v>1175</v>
      </c>
      <c r="E111" s="149" t="s">
        <v>1176</v>
      </c>
      <c r="F111" s="149" t="s">
        <v>267</v>
      </c>
      <c r="G111" s="149" t="s">
        <v>143</v>
      </c>
      <c r="H111" s="151" t="str">
        <f t="shared" si="6"/>
        <v>1995/04/23</v>
      </c>
      <c r="I111" s="149" t="s">
        <v>295</v>
      </c>
      <c r="J111" s="149" t="s">
        <v>615</v>
      </c>
      <c r="K111" s="101" t="str">
        <f t="shared" si="7"/>
        <v>95</v>
      </c>
      <c r="L111" s="101" t="str">
        <f t="shared" si="8"/>
        <v>04</v>
      </c>
      <c r="M111" s="101" t="str">
        <f t="shared" si="9"/>
        <v>23</v>
      </c>
    </row>
    <row r="112" spans="1:13">
      <c r="A112" t="str">
        <f t="shared" si="5"/>
        <v>広島工業大学2111男</v>
      </c>
      <c r="B112" s="149" t="s">
        <v>1142</v>
      </c>
      <c r="C112" s="149">
        <v>2111</v>
      </c>
      <c r="D112" s="149" t="s">
        <v>1177</v>
      </c>
      <c r="E112" s="149" t="s">
        <v>1178</v>
      </c>
      <c r="F112" s="149" t="s">
        <v>267</v>
      </c>
      <c r="G112" s="149" t="s">
        <v>143</v>
      </c>
      <c r="H112" s="151" t="str">
        <f t="shared" si="6"/>
        <v>1996/02/19</v>
      </c>
      <c r="I112" s="149" t="s">
        <v>295</v>
      </c>
      <c r="J112" s="149" t="s">
        <v>934</v>
      </c>
      <c r="K112" s="101" t="str">
        <f t="shared" si="7"/>
        <v>96</v>
      </c>
      <c r="L112" s="101" t="str">
        <f t="shared" si="8"/>
        <v>02</v>
      </c>
      <c r="M112" s="101" t="str">
        <f t="shared" si="9"/>
        <v>19</v>
      </c>
    </row>
    <row r="113" spans="1:13">
      <c r="A113" t="str">
        <f t="shared" si="5"/>
        <v>広島工業大学2112男</v>
      </c>
      <c r="B113" s="149" t="s">
        <v>1142</v>
      </c>
      <c r="C113" s="149">
        <v>2112</v>
      </c>
      <c r="D113" s="149" t="s">
        <v>1179</v>
      </c>
      <c r="E113" s="149" t="s">
        <v>1180</v>
      </c>
      <c r="F113" s="149" t="s">
        <v>267</v>
      </c>
      <c r="G113" s="149" t="s">
        <v>143</v>
      </c>
      <c r="H113" s="151" t="str">
        <f t="shared" si="6"/>
        <v>1995/04/04</v>
      </c>
      <c r="I113" s="149" t="s">
        <v>295</v>
      </c>
      <c r="J113" s="149" t="s">
        <v>409</v>
      </c>
      <c r="K113" s="101" t="str">
        <f t="shared" si="7"/>
        <v>95</v>
      </c>
      <c r="L113" s="101" t="str">
        <f t="shared" si="8"/>
        <v>04</v>
      </c>
      <c r="M113" s="101" t="str">
        <f t="shared" si="9"/>
        <v>04</v>
      </c>
    </row>
    <row r="114" spans="1:13">
      <c r="A114" t="str">
        <f t="shared" si="5"/>
        <v>広島工業大学2113男</v>
      </c>
      <c r="B114" s="149" t="s">
        <v>1142</v>
      </c>
      <c r="C114" s="149">
        <v>2113</v>
      </c>
      <c r="D114" s="149" t="s">
        <v>1181</v>
      </c>
      <c r="E114" s="149" t="s">
        <v>1182</v>
      </c>
      <c r="F114" s="149" t="s">
        <v>267</v>
      </c>
      <c r="G114" s="149" t="s">
        <v>143</v>
      </c>
      <c r="H114" s="151" t="str">
        <f t="shared" si="6"/>
        <v>1995/04/03</v>
      </c>
      <c r="I114" s="149" t="s">
        <v>295</v>
      </c>
      <c r="J114" s="149" t="s">
        <v>492</v>
      </c>
      <c r="K114" s="101" t="str">
        <f t="shared" si="7"/>
        <v>95</v>
      </c>
      <c r="L114" s="101" t="str">
        <f t="shared" si="8"/>
        <v>04</v>
      </c>
      <c r="M114" s="101" t="str">
        <f t="shared" si="9"/>
        <v>03</v>
      </c>
    </row>
    <row r="115" spans="1:13">
      <c r="A115" t="str">
        <f t="shared" si="5"/>
        <v>広島工業大学2114男</v>
      </c>
      <c r="B115" s="149" t="s">
        <v>1142</v>
      </c>
      <c r="C115" s="149">
        <v>2114</v>
      </c>
      <c r="D115" s="149" t="s">
        <v>1183</v>
      </c>
      <c r="E115" s="149" t="s">
        <v>1184</v>
      </c>
      <c r="F115" s="149" t="s">
        <v>267</v>
      </c>
      <c r="G115" s="149" t="s">
        <v>143</v>
      </c>
      <c r="H115" s="151" t="str">
        <f t="shared" si="6"/>
        <v>1995/10/29</v>
      </c>
      <c r="I115" s="149" t="s">
        <v>295</v>
      </c>
      <c r="J115" s="149" t="s">
        <v>931</v>
      </c>
      <c r="K115" s="101" t="str">
        <f t="shared" si="7"/>
        <v>95</v>
      </c>
      <c r="L115" s="101" t="str">
        <f t="shared" si="8"/>
        <v>10</v>
      </c>
      <c r="M115" s="101" t="str">
        <f t="shared" si="9"/>
        <v>29</v>
      </c>
    </row>
    <row r="116" spans="1:13">
      <c r="A116" t="str">
        <f t="shared" si="5"/>
        <v>広島工業大学2115男</v>
      </c>
      <c r="B116" s="149" t="s">
        <v>1142</v>
      </c>
      <c r="C116" s="149">
        <v>2115</v>
      </c>
      <c r="D116" s="149" t="s">
        <v>1185</v>
      </c>
      <c r="E116" s="149" t="s">
        <v>1186</v>
      </c>
      <c r="F116" s="149" t="s">
        <v>260</v>
      </c>
      <c r="G116" s="149" t="s">
        <v>143</v>
      </c>
      <c r="H116" s="151" t="str">
        <f t="shared" si="6"/>
        <v>1993/07/27</v>
      </c>
      <c r="I116" s="149" t="s">
        <v>295</v>
      </c>
      <c r="J116" s="149" t="s">
        <v>3683</v>
      </c>
      <c r="K116" s="101" t="str">
        <f t="shared" si="7"/>
        <v>93</v>
      </c>
      <c r="L116" s="101" t="str">
        <f t="shared" si="8"/>
        <v>07</v>
      </c>
      <c r="M116" s="101" t="str">
        <f t="shared" si="9"/>
        <v>27</v>
      </c>
    </row>
    <row r="117" spans="1:13">
      <c r="A117" t="str">
        <f t="shared" si="5"/>
        <v>岡山商科大学2116男</v>
      </c>
      <c r="B117" s="149" t="s">
        <v>1187</v>
      </c>
      <c r="C117" s="149">
        <v>2116</v>
      </c>
      <c r="D117" s="149" t="s">
        <v>1188</v>
      </c>
      <c r="E117" s="149" t="s">
        <v>1189</v>
      </c>
      <c r="F117" s="149" t="s">
        <v>260</v>
      </c>
      <c r="G117" s="149" t="s">
        <v>143</v>
      </c>
      <c r="H117" s="151" t="str">
        <f t="shared" si="6"/>
        <v>1993/05/10</v>
      </c>
      <c r="I117" s="149" t="s">
        <v>299</v>
      </c>
      <c r="J117" s="149" t="s">
        <v>630</v>
      </c>
      <c r="K117" s="101" t="str">
        <f t="shared" si="7"/>
        <v>93</v>
      </c>
      <c r="L117" s="101" t="str">
        <f t="shared" si="8"/>
        <v>05</v>
      </c>
      <c r="M117" s="101" t="str">
        <f t="shared" si="9"/>
        <v>10</v>
      </c>
    </row>
    <row r="118" spans="1:13">
      <c r="A118" t="str">
        <f t="shared" si="5"/>
        <v>岡山商科大学2117男</v>
      </c>
      <c r="B118" s="149" t="s">
        <v>1187</v>
      </c>
      <c r="C118" s="149">
        <v>2117</v>
      </c>
      <c r="D118" s="149" t="s">
        <v>1190</v>
      </c>
      <c r="E118" s="149" t="s">
        <v>1191</v>
      </c>
      <c r="F118" s="149" t="s">
        <v>260</v>
      </c>
      <c r="G118" s="149" t="s">
        <v>143</v>
      </c>
      <c r="H118" s="151" t="str">
        <f t="shared" si="6"/>
        <v>1993/09/21</v>
      </c>
      <c r="I118" s="149" t="s">
        <v>299</v>
      </c>
      <c r="J118" s="149" t="s">
        <v>3684</v>
      </c>
      <c r="K118" s="101" t="str">
        <f t="shared" si="7"/>
        <v>93</v>
      </c>
      <c r="L118" s="101" t="str">
        <f t="shared" si="8"/>
        <v>09</v>
      </c>
      <c r="M118" s="101" t="str">
        <f t="shared" si="9"/>
        <v>21</v>
      </c>
    </row>
    <row r="119" spans="1:13">
      <c r="A119" t="str">
        <f t="shared" si="5"/>
        <v>岡山商科大学2118男</v>
      </c>
      <c r="B119" s="149" t="s">
        <v>1187</v>
      </c>
      <c r="C119" s="149">
        <v>2118</v>
      </c>
      <c r="D119" s="149" t="s">
        <v>1192</v>
      </c>
      <c r="E119" s="149" t="s">
        <v>1193</v>
      </c>
      <c r="F119" s="149" t="s">
        <v>260</v>
      </c>
      <c r="G119" s="149" t="s">
        <v>143</v>
      </c>
      <c r="H119" s="151" t="str">
        <f t="shared" si="6"/>
        <v>1993/04/06</v>
      </c>
      <c r="I119" s="149" t="s">
        <v>295</v>
      </c>
      <c r="J119" s="149" t="s">
        <v>3685</v>
      </c>
      <c r="K119" s="101" t="str">
        <f t="shared" si="7"/>
        <v>93</v>
      </c>
      <c r="L119" s="101" t="str">
        <f t="shared" si="8"/>
        <v>04</v>
      </c>
      <c r="M119" s="101" t="str">
        <f t="shared" si="9"/>
        <v>06</v>
      </c>
    </row>
    <row r="120" spans="1:13">
      <c r="A120" t="str">
        <f t="shared" si="5"/>
        <v>岡山商科大学2119男</v>
      </c>
      <c r="B120" s="149" t="s">
        <v>1187</v>
      </c>
      <c r="C120" s="149">
        <v>2119</v>
      </c>
      <c r="D120" s="149" t="s">
        <v>1194</v>
      </c>
      <c r="E120" s="149" t="s">
        <v>1195</v>
      </c>
      <c r="F120" s="149" t="s">
        <v>260</v>
      </c>
      <c r="G120" s="149" t="s">
        <v>143</v>
      </c>
      <c r="H120" s="151" t="str">
        <f t="shared" si="6"/>
        <v>1994/02/27</v>
      </c>
      <c r="I120" s="149" t="s">
        <v>301</v>
      </c>
      <c r="J120" s="149" t="s">
        <v>573</v>
      </c>
      <c r="K120" s="101" t="str">
        <f t="shared" si="7"/>
        <v>94</v>
      </c>
      <c r="L120" s="101" t="str">
        <f t="shared" si="8"/>
        <v>02</v>
      </c>
      <c r="M120" s="101" t="str">
        <f t="shared" si="9"/>
        <v>27</v>
      </c>
    </row>
    <row r="121" spans="1:13">
      <c r="A121" t="str">
        <f t="shared" si="5"/>
        <v>岡山商科大学2120男</v>
      </c>
      <c r="B121" s="149" t="s">
        <v>1187</v>
      </c>
      <c r="C121" s="149">
        <v>2120</v>
      </c>
      <c r="D121" s="149" t="s">
        <v>1196</v>
      </c>
      <c r="E121" s="149" t="s">
        <v>1197</v>
      </c>
      <c r="F121" s="149" t="s">
        <v>260</v>
      </c>
      <c r="G121" s="149" t="s">
        <v>143</v>
      </c>
      <c r="H121" s="151" t="str">
        <f t="shared" si="6"/>
        <v>1993/07/11</v>
      </c>
      <c r="I121" s="149" t="s">
        <v>299</v>
      </c>
      <c r="J121" s="149" t="s">
        <v>876</v>
      </c>
      <c r="K121" s="101" t="str">
        <f t="shared" si="7"/>
        <v>93</v>
      </c>
      <c r="L121" s="101" t="str">
        <f t="shared" si="8"/>
        <v>07</v>
      </c>
      <c r="M121" s="101" t="str">
        <f t="shared" si="9"/>
        <v>11</v>
      </c>
    </row>
    <row r="122" spans="1:13">
      <c r="A122" t="str">
        <f t="shared" si="5"/>
        <v>岡山商科大学2121男</v>
      </c>
      <c r="B122" s="149" t="s">
        <v>1187</v>
      </c>
      <c r="C122" s="149">
        <v>2121</v>
      </c>
      <c r="D122" s="149" t="s">
        <v>1198</v>
      </c>
      <c r="E122" s="149" t="s">
        <v>1199</v>
      </c>
      <c r="F122" s="149" t="s">
        <v>260</v>
      </c>
      <c r="G122" s="149" t="s">
        <v>143</v>
      </c>
      <c r="H122" s="151" t="str">
        <f t="shared" si="6"/>
        <v>1994/05/17</v>
      </c>
      <c r="I122" s="149" t="s">
        <v>269</v>
      </c>
      <c r="J122" s="149" t="s">
        <v>542</v>
      </c>
      <c r="K122" s="101" t="str">
        <f t="shared" si="7"/>
        <v>94</v>
      </c>
      <c r="L122" s="101" t="str">
        <f t="shared" si="8"/>
        <v>05</v>
      </c>
      <c r="M122" s="101" t="str">
        <f t="shared" si="9"/>
        <v>17</v>
      </c>
    </row>
    <row r="123" spans="1:13">
      <c r="A123" t="str">
        <f t="shared" si="5"/>
        <v>岡山商科大学2122男</v>
      </c>
      <c r="B123" s="149" t="s">
        <v>1187</v>
      </c>
      <c r="C123" s="149">
        <v>2122</v>
      </c>
      <c r="D123" s="149" t="s">
        <v>1200</v>
      </c>
      <c r="E123" s="149" t="s">
        <v>1201</v>
      </c>
      <c r="F123" s="149" t="s">
        <v>260</v>
      </c>
      <c r="G123" s="149" t="s">
        <v>143</v>
      </c>
      <c r="H123" s="151" t="str">
        <f t="shared" si="6"/>
        <v>1994/09/14</v>
      </c>
      <c r="I123" s="149" t="s">
        <v>269</v>
      </c>
      <c r="J123" s="149" t="s">
        <v>470</v>
      </c>
      <c r="K123" s="101" t="str">
        <f t="shared" si="7"/>
        <v>94</v>
      </c>
      <c r="L123" s="101" t="str">
        <f t="shared" si="8"/>
        <v>09</v>
      </c>
      <c r="M123" s="101" t="str">
        <f t="shared" si="9"/>
        <v>14</v>
      </c>
    </row>
    <row r="124" spans="1:13">
      <c r="A124" t="str">
        <f t="shared" si="5"/>
        <v>岡山商科大学2123男</v>
      </c>
      <c r="B124" s="149" t="s">
        <v>1187</v>
      </c>
      <c r="C124" s="149">
        <v>2123</v>
      </c>
      <c r="D124" s="149" t="s">
        <v>1202</v>
      </c>
      <c r="E124" s="149" t="s">
        <v>1203</v>
      </c>
      <c r="F124" s="149" t="s">
        <v>260</v>
      </c>
      <c r="G124" s="149" t="s">
        <v>143</v>
      </c>
      <c r="H124" s="151" t="str">
        <f t="shared" si="6"/>
        <v>1994/11/02</v>
      </c>
      <c r="I124" s="149" t="s">
        <v>277</v>
      </c>
      <c r="J124" s="149" t="s">
        <v>479</v>
      </c>
      <c r="K124" s="101" t="str">
        <f t="shared" si="7"/>
        <v>94</v>
      </c>
      <c r="L124" s="101" t="str">
        <f t="shared" si="8"/>
        <v>11</v>
      </c>
      <c r="M124" s="101" t="str">
        <f t="shared" si="9"/>
        <v>02</v>
      </c>
    </row>
    <row r="125" spans="1:13">
      <c r="A125" t="str">
        <f t="shared" si="5"/>
        <v>岡山商科大学2124男</v>
      </c>
      <c r="B125" s="149" t="s">
        <v>1187</v>
      </c>
      <c r="C125" s="149">
        <v>2124</v>
      </c>
      <c r="D125" s="149" t="s">
        <v>1204</v>
      </c>
      <c r="E125" s="149" t="s">
        <v>1205</v>
      </c>
      <c r="F125" s="149" t="s">
        <v>260</v>
      </c>
      <c r="G125" s="149" t="s">
        <v>143</v>
      </c>
      <c r="H125" s="151" t="str">
        <f t="shared" si="6"/>
        <v>1993/12/29</v>
      </c>
      <c r="I125" s="149" t="s">
        <v>301</v>
      </c>
      <c r="J125" s="149" t="s">
        <v>3686</v>
      </c>
      <c r="K125" s="101" t="str">
        <f t="shared" si="7"/>
        <v>93</v>
      </c>
      <c r="L125" s="101" t="str">
        <f t="shared" si="8"/>
        <v>12</v>
      </c>
      <c r="M125" s="101" t="str">
        <f t="shared" si="9"/>
        <v>29</v>
      </c>
    </row>
    <row r="126" spans="1:13">
      <c r="A126" t="str">
        <f t="shared" si="5"/>
        <v>岡山商科大学2125男</v>
      </c>
      <c r="B126" s="149" t="s">
        <v>1187</v>
      </c>
      <c r="C126" s="149">
        <v>2125</v>
      </c>
      <c r="D126" s="149" t="s">
        <v>1206</v>
      </c>
      <c r="E126" s="149" t="s">
        <v>1207</v>
      </c>
      <c r="F126" s="149" t="s">
        <v>260</v>
      </c>
      <c r="G126" s="149" t="s">
        <v>143</v>
      </c>
      <c r="H126" s="151" t="str">
        <f t="shared" si="6"/>
        <v>1993/12/25</v>
      </c>
      <c r="I126" s="149" t="s">
        <v>278</v>
      </c>
      <c r="J126" s="149" t="s">
        <v>864</v>
      </c>
      <c r="K126" s="101" t="str">
        <f t="shared" si="7"/>
        <v>93</v>
      </c>
      <c r="L126" s="101" t="str">
        <f t="shared" si="8"/>
        <v>12</v>
      </c>
      <c r="M126" s="101" t="str">
        <f t="shared" si="9"/>
        <v>25</v>
      </c>
    </row>
    <row r="127" spans="1:13">
      <c r="A127" t="str">
        <f t="shared" si="5"/>
        <v>岡山商科大学2126男</v>
      </c>
      <c r="B127" s="149" t="s">
        <v>1187</v>
      </c>
      <c r="C127" s="149">
        <v>2126</v>
      </c>
      <c r="D127" s="149" t="s">
        <v>1208</v>
      </c>
      <c r="E127" s="149" t="s">
        <v>1209</v>
      </c>
      <c r="F127" s="149" t="s">
        <v>260</v>
      </c>
      <c r="G127" s="149" t="s">
        <v>143</v>
      </c>
      <c r="H127" s="151" t="str">
        <f t="shared" si="6"/>
        <v>1993/07/15</v>
      </c>
      <c r="I127" s="149" t="s">
        <v>299</v>
      </c>
      <c r="J127" s="149" t="s">
        <v>3687</v>
      </c>
      <c r="K127" s="101" t="str">
        <f t="shared" si="7"/>
        <v>93</v>
      </c>
      <c r="L127" s="101" t="str">
        <f t="shared" si="8"/>
        <v>07</v>
      </c>
      <c r="M127" s="101" t="str">
        <f t="shared" si="9"/>
        <v>15</v>
      </c>
    </row>
    <row r="128" spans="1:13">
      <c r="A128" t="str">
        <f t="shared" si="5"/>
        <v>岡山商科大学2127男</v>
      </c>
      <c r="B128" s="149" t="s">
        <v>1187</v>
      </c>
      <c r="C128" s="149">
        <v>2127</v>
      </c>
      <c r="D128" s="149" t="s">
        <v>1210</v>
      </c>
      <c r="E128" s="149" t="s">
        <v>1211</v>
      </c>
      <c r="F128" s="149" t="s">
        <v>265</v>
      </c>
      <c r="G128" s="149" t="s">
        <v>143</v>
      </c>
      <c r="H128" s="151" t="str">
        <f t="shared" si="6"/>
        <v>1995/03/13</v>
      </c>
      <c r="I128" s="149" t="s">
        <v>299</v>
      </c>
      <c r="J128" s="149" t="s">
        <v>3688</v>
      </c>
      <c r="K128" s="101" t="str">
        <f t="shared" si="7"/>
        <v>95</v>
      </c>
      <c r="L128" s="101" t="str">
        <f t="shared" si="8"/>
        <v>03</v>
      </c>
      <c r="M128" s="101" t="str">
        <f t="shared" si="9"/>
        <v>13</v>
      </c>
    </row>
    <row r="129" spans="1:13">
      <c r="A129" t="str">
        <f t="shared" si="5"/>
        <v>岡山商科大学2128男</v>
      </c>
      <c r="B129" s="149" t="s">
        <v>1187</v>
      </c>
      <c r="C129" s="149">
        <v>2128</v>
      </c>
      <c r="D129" s="149" t="s">
        <v>1212</v>
      </c>
      <c r="E129" s="149" t="s">
        <v>1213</v>
      </c>
      <c r="F129" s="149" t="s">
        <v>265</v>
      </c>
      <c r="G129" s="149" t="s">
        <v>143</v>
      </c>
      <c r="H129" s="151" t="str">
        <f t="shared" si="6"/>
        <v>1995/03/06</v>
      </c>
      <c r="I129" s="149" t="s">
        <v>281</v>
      </c>
      <c r="J129" s="149" t="s">
        <v>3689</v>
      </c>
      <c r="K129" s="101" t="str">
        <f t="shared" si="7"/>
        <v>95</v>
      </c>
      <c r="L129" s="101" t="str">
        <f t="shared" si="8"/>
        <v>03</v>
      </c>
      <c r="M129" s="101" t="str">
        <f t="shared" si="9"/>
        <v>06</v>
      </c>
    </row>
    <row r="130" spans="1:13">
      <c r="A130" t="str">
        <f t="shared" ref="A130:A193" si="10">B130&amp;C130&amp;G130</f>
        <v>岡山商科大学2129男</v>
      </c>
      <c r="B130" s="149" t="s">
        <v>1187</v>
      </c>
      <c r="C130" s="149">
        <v>2129</v>
      </c>
      <c r="D130" s="149" t="s">
        <v>1214</v>
      </c>
      <c r="E130" s="149" t="s">
        <v>1215</v>
      </c>
      <c r="F130" s="149" t="s">
        <v>265</v>
      </c>
      <c r="G130" s="149" t="s">
        <v>143</v>
      </c>
      <c r="H130" s="151" t="str">
        <f t="shared" si="6"/>
        <v>1994/05/20</v>
      </c>
      <c r="I130" s="149" t="s">
        <v>269</v>
      </c>
      <c r="J130" s="149" t="s">
        <v>890</v>
      </c>
      <c r="K130" s="101" t="str">
        <f t="shared" si="7"/>
        <v>94</v>
      </c>
      <c r="L130" s="101" t="str">
        <f t="shared" si="8"/>
        <v>05</v>
      </c>
      <c r="M130" s="101" t="str">
        <f t="shared" si="9"/>
        <v>20</v>
      </c>
    </row>
    <row r="131" spans="1:13">
      <c r="A131" t="str">
        <f t="shared" si="10"/>
        <v>岡山商科大学2130男</v>
      </c>
      <c r="B131" s="149" t="s">
        <v>1187</v>
      </c>
      <c r="C131" s="149">
        <v>2130</v>
      </c>
      <c r="D131" s="149" t="s">
        <v>1216</v>
      </c>
      <c r="E131" s="149" t="s">
        <v>1217</v>
      </c>
      <c r="F131" s="149" t="s">
        <v>265</v>
      </c>
      <c r="G131" s="149" t="s">
        <v>143</v>
      </c>
      <c r="H131" s="151" t="str">
        <f t="shared" ref="H131:H194" si="11">"19"&amp;K131&amp;"/"&amp;L131&amp;"/"&amp;M131</f>
        <v>1994/11/25</v>
      </c>
      <c r="I131" s="149" t="s">
        <v>269</v>
      </c>
      <c r="J131" s="149" t="s">
        <v>784</v>
      </c>
      <c r="K131" s="101" t="str">
        <f t="shared" ref="K131:K194" si="12">MID(J131,1,2)</f>
        <v>94</v>
      </c>
      <c r="L131" s="101" t="str">
        <f t="shared" ref="L131:L194" si="13">MID(J131,3,2)</f>
        <v>11</v>
      </c>
      <c r="M131" s="101" t="str">
        <f t="shared" ref="M131:M194" si="14">MID(J131,5,2)</f>
        <v>25</v>
      </c>
    </row>
    <row r="132" spans="1:13">
      <c r="A132" t="str">
        <f t="shared" si="10"/>
        <v>岡山商科大学2131男</v>
      </c>
      <c r="B132" s="149" t="s">
        <v>1187</v>
      </c>
      <c r="C132" s="149">
        <v>2131</v>
      </c>
      <c r="D132" s="149" t="s">
        <v>1218</v>
      </c>
      <c r="E132" s="149" t="s">
        <v>1219</v>
      </c>
      <c r="F132" s="149" t="s">
        <v>265</v>
      </c>
      <c r="G132" s="149" t="s">
        <v>143</v>
      </c>
      <c r="H132" s="151" t="str">
        <f t="shared" si="11"/>
        <v>1995/01/06</v>
      </c>
      <c r="I132" s="149" t="s">
        <v>269</v>
      </c>
      <c r="J132" s="149" t="s">
        <v>628</v>
      </c>
      <c r="K132" s="101" t="str">
        <f t="shared" si="12"/>
        <v>95</v>
      </c>
      <c r="L132" s="101" t="str">
        <f t="shared" si="13"/>
        <v>01</v>
      </c>
      <c r="M132" s="101" t="str">
        <f t="shared" si="14"/>
        <v>06</v>
      </c>
    </row>
    <row r="133" spans="1:13">
      <c r="A133" t="str">
        <f t="shared" si="10"/>
        <v>岡山商科大学2132男</v>
      </c>
      <c r="B133" s="149" t="s">
        <v>1187</v>
      </c>
      <c r="C133" s="149">
        <v>2132</v>
      </c>
      <c r="D133" s="149" t="s">
        <v>1220</v>
      </c>
      <c r="E133" s="149" t="s">
        <v>1221</v>
      </c>
      <c r="F133" s="149" t="s">
        <v>265</v>
      </c>
      <c r="G133" s="149" t="s">
        <v>143</v>
      </c>
      <c r="H133" s="151" t="str">
        <f t="shared" si="11"/>
        <v>1994/04/30</v>
      </c>
      <c r="I133" s="149" t="s">
        <v>301</v>
      </c>
      <c r="J133" s="149" t="s">
        <v>3690</v>
      </c>
      <c r="K133" s="101" t="str">
        <f t="shared" si="12"/>
        <v>94</v>
      </c>
      <c r="L133" s="101" t="str">
        <f t="shared" si="13"/>
        <v>04</v>
      </c>
      <c r="M133" s="101" t="str">
        <f t="shared" si="14"/>
        <v>30</v>
      </c>
    </row>
    <row r="134" spans="1:13">
      <c r="A134" t="str">
        <f t="shared" si="10"/>
        <v>岡山商科大学2133男</v>
      </c>
      <c r="B134" s="149" t="s">
        <v>1187</v>
      </c>
      <c r="C134" s="149">
        <v>2133</v>
      </c>
      <c r="D134" s="149" t="s">
        <v>1222</v>
      </c>
      <c r="E134" s="149" t="s">
        <v>1223</v>
      </c>
      <c r="F134" s="149" t="s">
        <v>265</v>
      </c>
      <c r="G134" s="149" t="s">
        <v>143</v>
      </c>
      <c r="H134" s="151" t="str">
        <f t="shared" si="11"/>
        <v>1993/06/23</v>
      </c>
      <c r="I134" s="149" t="s">
        <v>269</v>
      </c>
      <c r="J134" s="149" t="s">
        <v>394</v>
      </c>
      <c r="K134" s="101" t="str">
        <f t="shared" si="12"/>
        <v>93</v>
      </c>
      <c r="L134" s="101" t="str">
        <f t="shared" si="13"/>
        <v>06</v>
      </c>
      <c r="M134" s="101" t="str">
        <f t="shared" si="14"/>
        <v>23</v>
      </c>
    </row>
    <row r="135" spans="1:13">
      <c r="A135" t="str">
        <f t="shared" si="10"/>
        <v>岡山商科大学2134男</v>
      </c>
      <c r="B135" s="149" t="s">
        <v>1187</v>
      </c>
      <c r="C135" s="149">
        <v>2134</v>
      </c>
      <c r="D135" s="149" t="s">
        <v>1224</v>
      </c>
      <c r="E135" s="149" t="s">
        <v>1225</v>
      </c>
      <c r="F135" s="149" t="s">
        <v>265</v>
      </c>
      <c r="G135" s="149" t="s">
        <v>143</v>
      </c>
      <c r="H135" s="151" t="str">
        <f t="shared" si="11"/>
        <v>1994/12/25</v>
      </c>
      <c r="I135" s="149" t="s">
        <v>263</v>
      </c>
      <c r="J135" s="149" t="s">
        <v>3691</v>
      </c>
      <c r="K135" s="101" t="str">
        <f t="shared" si="12"/>
        <v>94</v>
      </c>
      <c r="L135" s="101" t="str">
        <f t="shared" si="13"/>
        <v>12</v>
      </c>
      <c r="M135" s="101" t="str">
        <f t="shared" si="14"/>
        <v>25</v>
      </c>
    </row>
    <row r="136" spans="1:13">
      <c r="A136" t="str">
        <f t="shared" si="10"/>
        <v>岡山商科大学2135男</v>
      </c>
      <c r="B136" s="149" t="s">
        <v>1187</v>
      </c>
      <c r="C136" s="149">
        <v>2135</v>
      </c>
      <c r="D136" s="149" t="s">
        <v>1226</v>
      </c>
      <c r="E136" s="149" t="s">
        <v>1227</v>
      </c>
      <c r="F136" s="149" t="s">
        <v>265</v>
      </c>
      <c r="G136" s="149" t="s">
        <v>143</v>
      </c>
      <c r="H136" s="151" t="str">
        <f t="shared" si="11"/>
        <v>1994/04/21</v>
      </c>
      <c r="I136" s="149" t="s">
        <v>295</v>
      </c>
      <c r="J136" s="149" t="s">
        <v>401</v>
      </c>
      <c r="K136" s="101" t="str">
        <f t="shared" si="12"/>
        <v>94</v>
      </c>
      <c r="L136" s="101" t="str">
        <f t="shared" si="13"/>
        <v>04</v>
      </c>
      <c r="M136" s="101" t="str">
        <f t="shared" si="14"/>
        <v>21</v>
      </c>
    </row>
    <row r="137" spans="1:13">
      <c r="A137" t="str">
        <f t="shared" si="10"/>
        <v>岡山商科大学2136男</v>
      </c>
      <c r="B137" s="149" t="s">
        <v>1187</v>
      </c>
      <c r="C137" s="149">
        <v>2136</v>
      </c>
      <c r="D137" s="149" t="s">
        <v>1228</v>
      </c>
      <c r="E137" s="149" t="s">
        <v>1229</v>
      </c>
      <c r="F137" s="149" t="s">
        <v>265</v>
      </c>
      <c r="G137" s="149" t="s">
        <v>143</v>
      </c>
      <c r="H137" s="151" t="str">
        <f t="shared" si="11"/>
        <v>1994/12/01</v>
      </c>
      <c r="I137" s="149" t="s">
        <v>278</v>
      </c>
      <c r="J137" s="149" t="s">
        <v>597</v>
      </c>
      <c r="K137" s="101" t="str">
        <f t="shared" si="12"/>
        <v>94</v>
      </c>
      <c r="L137" s="101" t="str">
        <f t="shared" si="13"/>
        <v>12</v>
      </c>
      <c r="M137" s="101" t="str">
        <f t="shared" si="14"/>
        <v>01</v>
      </c>
    </row>
    <row r="138" spans="1:13">
      <c r="A138" t="str">
        <f t="shared" si="10"/>
        <v>岡山商科大学2137男</v>
      </c>
      <c r="B138" s="149" t="s">
        <v>1187</v>
      </c>
      <c r="C138" s="149">
        <v>2137</v>
      </c>
      <c r="D138" s="149" t="s">
        <v>1230</v>
      </c>
      <c r="E138" s="149" t="s">
        <v>1231</v>
      </c>
      <c r="F138" s="149" t="s">
        <v>265</v>
      </c>
      <c r="G138" s="149" t="s">
        <v>143</v>
      </c>
      <c r="H138" s="151" t="str">
        <f t="shared" si="11"/>
        <v>1994/04/17</v>
      </c>
      <c r="I138" s="149" t="s">
        <v>276</v>
      </c>
      <c r="J138" s="149" t="s">
        <v>3692</v>
      </c>
      <c r="K138" s="101" t="str">
        <f t="shared" si="12"/>
        <v>94</v>
      </c>
      <c r="L138" s="101" t="str">
        <f t="shared" si="13"/>
        <v>04</v>
      </c>
      <c r="M138" s="101" t="str">
        <f t="shared" si="14"/>
        <v>17</v>
      </c>
    </row>
    <row r="139" spans="1:13">
      <c r="A139" t="str">
        <f t="shared" si="10"/>
        <v>岡山商科大学2138男</v>
      </c>
      <c r="B139" s="149" t="s">
        <v>1187</v>
      </c>
      <c r="C139" s="149">
        <v>2138</v>
      </c>
      <c r="D139" s="149" t="s">
        <v>1232</v>
      </c>
      <c r="E139" s="149" t="s">
        <v>1233</v>
      </c>
      <c r="F139" s="149" t="s">
        <v>260</v>
      </c>
      <c r="G139" s="149" t="s">
        <v>143</v>
      </c>
      <c r="H139" s="151" t="str">
        <f t="shared" si="11"/>
        <v>1993/05/07</v>
      </c>
      <c r="I139" s="149" t="s">
        <v>302</v>
      </c>
      <c r="J139" s="149" t="s">
        <v>345</v>
      </c>
      <c r="K139" s="101" t="str">
        <f t="shared" si="12"/>
        <v>93</v>
      </c>
      <c r="L139" s="101" t="str">
        <f t="shared" si="13"/>
        <v>05</v>
      </c>
      <c r="M139" s="101" t="str">
        <f t="shared" si="14"/>
        <v>07</v>
      </c>
    </row>
    <row r="140" spans="1:13">
      <c r="A140" t="str">
        <f t="shared" si="10"/>
        <v>岡山商科大学2139男</v>
      </c>
      <c r="B140" s="149" t="s">
        <v>1187</v>
      </c>
      <c r="C140" s="149">
        <v>2139</v>
      </c>
      <c r="D140" s="149" t="s">
        <v>1234</v>
      </c>
      <c r="E140" s="149" t="s">
        <v>1235</v>
      </c>
      <c r="F140" s="149" t="s">
        <v>267</v>
      </c>
      <c r="G140" s="149" t="s">
        <v>143</v>
      </c>
      <c r="H140" s="151" t="str">
        <f t="shared" si="11"/>
        <v>1996/03/31</v>
      </c>
      <c r="I140" s="149" t="s">
        <v>301</v>
      </c>
      <c r="J140" s="149" t="s">
        <v>487</v>
      </c>
      <c r="K140" s="101" t="str">
        <f t="shared" si="12"/>
        <v>96</v>
      </c>
      <c r="L140" s="101" t="str">
        <f t="shared" si="13"/>
        <v>03</v>
      </c>
      <c r="M140" s="101" t="str">
        <f t="shared" si="14"/>
        <v>31</v>
      </c>
    </row>
    <row r="141" spans="1:13">
      <c r="A141" t="str">
        <f t="shared" si="10"/>
        <v>岡山商科大学2140男</v>
      </c>
      <c r="B141" s="149" t="s">
        <v>1187</v>
      </c>
      <c r="C141" s="149">
        <v>2140</v>
      </c>
      <c r="D141" s="149" t="s">
        <v>1236</v>
      </c>
      <c r="E141" s="149" t="s">
        <v>1237</v>
      </c>
      <c r="F141" s="149" t="s">
        <v>267</v>
      </c>
      <c r="G141" s="149" t="s">
        <v>143</v>
      </c>
      <c r="H141" s="151" t="str">
        <f t="shared" si="11"/>
        <v>1995/10/01</v>
      </c>
      <c r="I141" s="149" t="s">
        <v>302</v>
      </c>
      <c r="J141" s="149" t="s">
        <v>629</v>
      </c>
      <c r="K141" s="101" t="str">
        <f t="shared" si="12"/>
        <v>95</v>
      </c>
      <c r="L141" s="101" t="str">
        <f t="shared" si="13"/>
        <v>10</v>
      </c>
      <c r="M141" s="101" t="str">
        <f t="shared" si="14"/>
        <v>01</v>
      </c>
    </row>
    <row r="142" spans="1:13">
      <c r="A142" t="str">
        <f t="shared" si="10"/>
        <v>岡山商科大学2141男</v>
      </c>
      <c r="B142" s="149" t="s">
        <v>1187</v>
      </c>
      <c r="C142" s="149">
        <v>2141</v>
      </c>
      <c r="D142" s="149" t="s">
        <v>1238</v>
      </c>
      <c r="E142" s="149" t="s">
        <v>1239</v>
      </c>
      <c r="F142" s="149" t="s">
        <v>267</v>
      </c>
      <c r="G142" s="149" t="s">
        <v>143</v>
      </c>
      <c r="H142" s="151" t="str">
        <f t="shared" si="11"/>
        <v>1995/04/15</v>
      </c>
      <c r="I142" s="149" t="s">
        <v>281</v>
      </c>
      <c r="J142" s="149" t="s">
        <v>624</v>
      </c>
      <c r="K142" s="101" t="str">
        <f t="shared" si="12"/>
        <v>95</v>
      </c>
      <c r="L142" s="101" t="str">
        <f t="shared" si="13"/>
        <v>04</v>
      </c>
      <c r="M142" s="101" t="str">
        <f t="shared" si="14"/>
        <v>15</v>
      </c>
    </row>
    <row r="143" spans="1:13">
      <c r="A143" t="str">
        <f t="shared" si="10"/>
        <v>岡山商科大学2142男</v>
      </c>
      <c r="B143" s="149" t="s">
        <v>1187</v>
      </c>
      <c r="C143" s="149">
        <v>2142</v>
      </c>
      <c r="D143" s="149" t="s">
        <v>1240</v>
      </c>
      <c r="E143" s="149" t="s">
        <v>1241</v>
      </c>
      <c r="F143" s="149" t="s">
        <v>267</v>
      </c>
      <c r="G143" s="149" t="s">
        <v>143</v>
      </c>
      <c r="H143" s="151" t="str">
        <f t="shared" si="11"/>
        <v>1995/06/14</v>
      </c>
      <c r="I143" s="149" t="s">
        <v>301</v>
      </c>
      <c r="J143" s="149" t="s">
        <v>486</v>
      </c>
      <c r="K143" s="101" t="str">
        <f t="shared" si="12"/>
        <v>95</v>
      </c>
      <c r="L143" s="101" t="str">
        <f t="shared" si="13"/>
        <v>06</v>
      </c>
      <c r="M143" s="101" t="str">
        <f t="shared" si="14"/>
        <v>14</v>
      </c>
    </row>
    <row r="144" spans="1:13">
      <c r="A144" t="str">
        <f t="shared" si="10"/>
        <v>岡山商科大学2143男</v>
      </c>
      <c r="B144" s="149" t="s">
        <v>1187</v>
      </c>
      <c r="C144" s="149">
        <v>2143</v>
      </c>
      <c r="D144" s="149" t="s">
        <v>1242</v>
      </c>
      <c r="E144" s="149" t="s">
        <v>1243</v>
      </c>
      <c r="F144" s="149" t="s">
        <v>267</v>
      </c>
      <c r="G144" s="149" t="s">
        <v>143</v>
      </c>
      <c r="H144" s="151" t="str">
        <f t="shared" si="11"/>
        <v>1995/09/01</v>
      </c>
      <c r="I144" s="149" t="s">
        <v>281</v>
      </c>
      <c r="J144" s="149" t="s">
        <v>3680</v>
      </c>
      <c r="K144" s="101" t="str">
        <f t="shared" si="12"/>
        <v>95</v>
      </c>
      <c r="L144" s="101" t="str">
        <f t="shared" si="13"/>
        <v>09</v>
      </c>
      <c r="M144" s="101" t="str">
        <f t="shared" si="14"/>
        <v>01</v>
      </c>
    </row>
    <row r="145" spans="1:13">
      <c r="A145" t="str">
        <f t="shared" si="10"/>
        <v>岡山商科大学2144男</v>
      </c>
      <c r="B145" s="149" t="s">
        <v>1187</v>
      </c>
      <c r="C145" s="149">
        <v>2144</v>
      </c>
      <c r="D145" s="149" t="s">
        <v>1244</v>
      </c>
      <c r="E145" s="149" t="s">
        <v>1245</v>
      </c>
      <c r="F145" s="149" t="s">
        <v>267</v>
      </c>
      <c r="G145" s="149" t="s">
        <v>143</v>
      </c>
      <c r="H145" s="151" t="str">
        <f t="shared" si="11"/>
        <v>1995/04/08</v>
      </c>
      <c r="I145" s="149" t="s">
        <v>263</v>
      </c>
      <c r="J145" s="149" t="s">
        <v>381</v>
      </c>
      <c r="K145" s="101" t="str">
        <f t="shared" si="12"/>
        <v>95</v>
      </c>
      <c r="L145" s="101" t="str">
        <f t="shared" si="13"/>
        <v>04</v>
      </c>
      <c r="M145" s="101" t="str">
        <f t="shared" si="14"/>
        <v>08</v>
      </c>
    </row>
    <row r="146" spans="1:13">
      <c r="A146" t="str">
        <f t="shared" si="10"/>
        <v>岡山商科大学2145男</v>
      </c>
      <c r="B146" s="149" t="s">
        <v>1187</v>
      </c>
      <c r="C146" s="149">
        <v>2145</v>
      </c>
      <c r="D146" s="149" t="s">
        <v>1246</v>
      </c>
      <c r="E146" s="149" t="s">
        <v>1247</v>
      </c>
      <c r="F146" s="149" t="s">
        <v>260</v>
      </c>
      <c r="G146" s="149" t="s">
        <v>143</v>
      </c>
      <c r="H146" s="151" t="str">
        <f t="shared" si="11"/>
        <v>1993/09/09</v>
      </c>
      <c r="I146" s="149" t="s">
        <v>301</v>
      </c>
      <c r="J146" s="149" t="s">
        <v>565</v>
      </c>
      <c r="K146" s="101" t="str">
        <f t="shared" si="12"/>
        <v>93</v>
      </c>
      <c r="L146" s="101" t="str">
        <f t="shared" si="13"/>
        <v>09</v>
      </c>
      <c r="M146" s="101" t="str">
        <f t="shared" si="14"/>
        <v>09</v>
      </c>
    </row>
    <row r="147" spans="1:13">
      <c r="A147" t="str">
        <f t="shared" si="10"/>
        <v>岡山商科大学2146男</v>
      </c>
      <c r="B147" s="149" t="s">
        <v>1187</v>
      </c>
      <c r="C147" s="149">
        <v>2146</v>
      </c>
      <c r="D147" s="149" t="s">
        <v>1248</v>
      </c>
      <c r="E147" s="149" t="s">
        <v>1249</v>
      </c>
      <c r="F147" s="149" t="s">
        <v>267</v>
      </c>
      <c r="G147" s="149" t="s">
        <v>143</v>
      </c>
      <c r="H147" s="151" t="str">
        <f t="shared" si="11"/>
        <v>1996/01/28</v>
      </c>
      <c r="I147" s="149" t="s">
        <v>289</v>
      </c>
      <c r="J147" s="149" t="s">
        <v>3693</v>
      </c>
      <c r="K147" s="101" t="str">
        <f t="shared" si="12"/>
        <v>96</v>
      </c>
      <c r="L147" s="101" t="str">
        <f t="shared" si="13"/>
        <v>01</v>
      </c>
      <c r="M147" s="101" t="str">
        <f t="shared" si="14"/>
        <v>28</v>
      </c>
    </row>
    <row r="148" spans="1:13">
      <c r="A148" t="str">
        <f t="shared" si="10"/>
        <v>徳山大学2147男</v>
      </c>
      <c r="B148" s="149" t="s">
        <v>1250</v>
      </c>
      <c r="C148" s="149">
        <v>2147</v>
      </c>
      <c r="D148" s="149" t="s">
        <v>1251</v>
      </c>
      <c r="E148" s="149" t="s">
        <v>1252</v>
      </c>
      <c r="F148" s="149" t="s">
        <v>260</v>
      </c>
      <c r="G148" s="149" t="s">
        <v>143</v>
      </c>
      <c r="H148" s="151" t="str">
        <f t="shared" si="11"/>
        <v>1993/06/07</v>
      </c>
      <c r="I148" s="149" t="s">
        <v>281</v>
      </c>
      <c r="J148" s="149" t="s">
        <v>335</v>
      </c>
      <c r="K148" s="101" t="str">
        <f t="shared" si="12"/>
        <v>93</v>
      </c>
      <c r="L148" s="101" t="str">
        <f t="shared" si="13"/>
        <v>06</v>
      </c>
      <c r="M148" s="101" t="str">
        <f t="shared" si="14"/>
        <v>07</v>
      </c>
    </row>
    <row r="149" spans="1:13">
      <c r="A149" t="str">
        <f t="shared" si="10"/>
        <v>徳山大学2148男</v>
      </c>
      <c r="B149" s="149" t="s">
        <v>1250</v>
      </c>
      <c r="C149" s="149">
        <v>2148</v>
      </c>
      <c r="D149" s="149" t="s">
        <v>1253</v>
      </c>
      <c r="E149" s="149" t="s">
        <v>1254</v>
      </c>
      <c r="F149" s="149" t="s">
        <v>260</v>
      </c>
      <c r="G149" s="149" t="s">
        <v>143</v>
      </c>
      <c r="H149" s="151" t="str">
        <f t="shared" si="11"/>
        <v>1993/04/28</v>
      </c>
      <c r="I149" s="149" t="s">
        <v>290</v>
      </c>
      <c r="J149" s="149" t="s">
        <v>323</v>
      </c>
      <c r="K149" s="101" t="str">
        <f t="shared" si="12"/>
        <v>93</v>
      </c>
      <c r="L149" s="101" t="str">
        <f t="shared" si="13"/>
        <v>04</v>
      </c>
      <c r="M149" s="101" t="str">
        <f t="shared" si="14"/>
        <v>28</v>
      </c>
    </row>
    <row r="150" spans="1:13">
      <c r="A150" t="str">
        <f t="shared" si="10"/>
        <v>徳山大学2149男</v>
      </c>
      <c r="B150" s="149" t="s">
        <v>1250</v>
      </c>
      <c r="C150" s="149">
        <v>2149</v>
      </c>
      <c r="D150" s="149" t="s">
        <v>1255</v>
      </c>
      <c r="E150" s="149" t="s">
        <v>1256</v>
      </c>
      <c r="F150" s="149" t="s">
        <v>260</v>
      </c>
      <c r="G150" s="149" t="s">
        <v>143</v>
      </c>
      <c r="H150" s="151" t="str">
        <f t="shared" si="11"/>
        <v>1994/02/12</v>
      </c>
      <c r="I150" s="149" t="s">
        <v>299</v>
      </c>
      <c r="J150" s="149" t="s">
        <v>3694</v>
      </c>
      <c r="K150" s="101" t="str">
        <f t="shared" si="12"/>
        <v>94</v>
      </c>
      <c r="L150" s="101" t="str">
        <f t="shared" si="13"/>
        <v>02</v>
      </c>
      <c r="M150" s="101" t="str">
        <f t="shared" si="14"/>
        <v>12</v>
      </c>
    </row>
    <row r="151" spans="1:13">
      <c r="A151" t="str">
        <f t="shared" si="10"/>
        <v>徳山大学2150男</v>
      </c>
      <c r="B151" s="149" t="s">
        <v>1250</v>
      </c>
      <c r="C151" s="149">
        <v>2150</v>
      </c>
      <c r="D151" s="149" t="s">
        <v>1257</v>
      </c>
      <c r="E151" s="149" t="s">
        <v>1258</v>
      </c>
      <c r="F151" s="149" t="s">
        <v>265</v>
      </c>
      <c r="G151" s="149" t="s">
        <v>143</v>
      </c>
      <c r="H151" s="151" t="str">
        <f t="shared" si="11"/>
        <v>1995/03/27</v>
      </c>
      <c r="I151" s="149" t="s">
        <v>275</v>
      </c>
      <c r="J151" s="149" t="s">
        <v>3695</v>
      </c>
      <c r="K151" s="101" t="str">
        <f t="shared" si="12"/>
        <v>95</v>
      </c>
      <c r="L151" s="101" t="str">
        <f t="shared" si="13"/>
        <v>03</v>
      </c>
      <c r="M151" s="101" t="str">
        <f t="shared" si="14"/>
        <v>27</v>
      </c>
    </row>
    <row r="152" spans="1:13">
      <c r="A152" t="str">
        <f t="shared" si="10"/>
        <v>徳山大学2151男</v>
      </c>
      <c r="B152" s="149" t="s">
        <v>1250</v>
      </c>
      <c r="C152" s="149">
        <v>2151</v>
      </c>
      <c r="D152" s="149" t="s">
        <v>1259</v>
      </c>
      <c r="E152" s="149" t="s">
        <v>1260</v>
      </c>
      <c r="F152" s="149" t="s">
        <v>265</v>
      </c>
      <c r="G152" s="149" t="s">
        <v>143</v>
      </c>
      <c r="H152" s="151" t="str">
        <f t="shared" si="11"/>
        <v>1994/06/28</v>
      </c>
      <c r="I152" s="149" t="s">
        <v>290</v>
      </c>
      <c r="J152" s="149" t="s">
        <v>591</v>
      </c>
      <c r="K152" s="101" t="str">
        <f t="shared" si="12"/>
        <v>94</v>
      </c>
      <c r="L152" s="101" t="str">
        <f t="shared" si="13"/>
        <v>06</v>
      </c>
      <c r="M152" s="101" t="str">
        <f t="shared" si="14"/>
        <v>28</v>
      </c>
    </row>
    <row r="153" spans="1:13">
      <c r="A153" t="str">
        <f t="shared" si="10"/>
        <v>徳山大学2152男</v>
      </c>
      <c r="B153" s="149" t="s">
        <v>1250</v>
      </c>
      <c r="C153" s="149">
        <v>2152</v>
      </c>
      <c r="D153" s="149" t="s">
        <v>1261</v>
      </c>
      <c r="E153" s="149" t="s">
        <v>1262</v>
      </c>
      <c r="F153" s="149" t="s">
        <v>265</v>
      </c>
      <c r="G153" s="149" t="s">
        <v>143</v>
      </c>
      <c r="H153" s="151" t="str">
        <f t="shared" si="11"/>
        <v>1995/03/06</v>
      </c>
      <c r="I153" s="149" t="s">
        <v>281</v>
      </c>
      <c r="J153" s="149" t="s">
        <v>3689</v>
      </c>
      <c r="K153" s="101" t="str">
        <f t="shared" si="12"/>
        <v>95</v>
      </c>
      <c r="L153" s="101" t="str">
        <f t="shared" si="13"/>
        <v>03</v>
      </c>
      <c r="M153" s="101" t="str">
        <f t="shared" si="14"/>
        <v>06</v>
      </c>
    </row>
    <row r="154" spans="1:13">
      <c r="A154" t="str">
        <f t="shared" si="10"/>
        <v>徳山大学2153男</v>
      </c>
      <c r="B154" s="149" t="s">
        <v>1250</v>
      </c>
      <c r="C154" s="149">
        <v>2153</v>
      </c>
      <c r="D154" s="149" t="s">
        <v>1263</v>
      </c>
      <c r="E154" s="149" t="s">
        <v>1264</v>
      </c>
      <c r="F154" s="149" t="s">
        <v>265</v>
      </c>
      <c r="G154" s="149" t="s">
        <v>143</v>
      </c>
      <c r="H154" s="151" t="str">
        <f t="shared" si="11"/>
        <v>1994/07/09</v>
      </c>
      <c r="I154" s="149" t="s">
        <v>281</v>
      </c>
      <c r="J154" s="149" t="s">
        <v>3696</v>
      </c>
      <c r="K154" s="101" t="str">
        <f t="shared" si="12"/>
        <v>94</v>
      </c>
      <c r="L154" s="101" t="str">
        <f t="shared" si="13"/>
        <v>07</v>
      </c>
      <c r="M154" s="101" t="str">
        <f t="shared" si="14"/>
        <v>09</v>
      </c>
    </row>
    <row r="155" spans="1:13">
      <c r="A155" t="str">
        <f t="shared" si="10"/>
        <v>徳山大学2154男</v>
      </c>
      <c r="B155" s="149" t="s">
        <v>1250</v>
      </c>
      <c r="C155" s="149">
        <v>2154</v>
      </c>
      <c r="D155" s="149" t="s">
        <v>1265</v>
      </c>
      <c r="E155" s="149" t="s">
        <v>1266</v>
      </c>
      <c r="F155" s="149" t="s">
        <v>265</v>
      </c>
      <c r="G155" s="149" t="s">
        <v>143</v>
      </c>
      <c r="H155" s="151" t="str">
        <f t="shared" si="11"/>
        <v>1994/06/30</v>
      </c>
      <c r="I155" s="149" t="s">
        <v>275</v>
      </c>
      <c r="J155" s="149" t="s">
        <v>3697</v>
      </c>
      <c r="K155" s="101" t="str">
        <f t="shared" si="12"/>
        <v>94</v>
      </c>
      <c r="L155" s="101" t="str">
        <f t="shared" si="13"/>
        <v>06</v>
      </c>
      <c r="M155" s="101" t="str">
        <f t="shared" si="14"/>
        <v>30</v>
      </c>
    </row>
    <row r="156" spans="1:13">
      <c r="A156" t="str">
        <f t="shared" si="10"/>
        <v>徳山大学2155男</v>
      </c>
      <c r="B156" s="149" t="s">
        <v>1250</v>
      </c>
      <c r="C156" s="149">
        <v>2155</v>
      </c>
      <c r="D156" s="149" t="s">
        <v>1267</v>
      </c>
      <c r="E156" s="149" t="s">
        <v>1268</v>
      </c>
      <c r="F156" s="149" t="s">
        <v>265</v>
      </c>
      <c r="G156" s="149" t="s">
        <v>143</v>
      </c>
      <c r="H156" s="151" t="str">
        <f t="shared" si="11"/>
        <v>1995/01/29</v>
      </c>
      <c r="I156" s="149" t="s">
        <v>275</v>
      </c>
      <c r="J156" s="149" t="s">
        <v>3698</v>
      </c>
      <c r="K156" s="101" t="str">
        <f t="shared" si="12"/>
        <v>95</v>
      </c>
      <c r="L156" s="101" t="str">
        <f t="shared" si="13"/>
        <v>01</v>
      </c>
      <c r="M156" s="101" t="str">
        <f t="shared" si="14"/>
        <v>29</v>
      </c>
    </row>
    <row r="157" spans="1:13">
      <c r="A157" t="str">
        <f t="shared" si="10"/>
        <v>徳山大学2156男</v>
      </c>
      <c r="B157" s="149" t="s">
        <v>1250</v>
      </c>
      <c r="C157" s="149">
        <v>2156</v>
      </c>
      <c r="D157" s="149" t="s">
        <v>1269</v>
      </c>
      <c r="E157" s="149" t="s">
        <v>1270</v>
      </c>
      <c r="F157" s="149" t="s">
        <v>265</v>
      </c>
      <c r="G157" s="149" t="s">
        <v>143</v>
      </c>
      <c r="H157" s="151" t="str">
        <f t="shared" si="11"/>
        <v>1994/11/14</v>
      </c>
      <c r="I157" s="149" t="s">
        <v>5</v>
      </c>
      <c r="J157" s="149" t="s">
        <v>788</v>
      </c>
      <c r="K157" s="101" t="str">
        <f t="shared" si="12"/>
        <v>94</v>
      </c>
      <c r="L157" s="101" t="str">
        <f t="shared" si="13"/>
        <v>11</v>
      </c>
      <c r="M157" s="101" t="str">
        <f t="shared" si="14"/>
        <v>14</v>
      </c>
    </row>
    <row r="158" spans="1:13">
      <c r="A158" t="str">
        <f t="shared" si="10"/>
        <v>徳山大学2157男</v>
      </c>
      <c r="B158" s="149" t="s">
        <v>1250</v>
      </c>
      <c r="C158" s="149">
        <v>2157</v>
      </c>
      <c r="D158" s="149" t="s">
        <v>1271</v>
      </c>
      <c r="E158" s="149" t="s">
        <v>1272</v>
      </c>
      <c r="F158" s="149" t="s">
        <v>265</v>
      </c>
      <c r="G158" s="149" t="s">
        <v>143</v>
      </c>
      <c r="H158" s="151" t="str">
        <f t="shared" si="11"/>
        <v>1995/01/13</v>
      </c>
      <c r="I158" s="149" t="s">
        <v>275</v>
      </c>
      <c r="J158" s="149" t="s">
        <v>467</v>
      </c>
      <c r="K158" s="101" t="str">
        <f t="shared" si="12"/>
        <v>95</v>
      </c>
      <c r="L158" s="101" t="str">
        <f t="shared" si="13"/>
        <v>01</v>
      </c>
      <c r="M158" s="101" t="str">
        <f t="shared" si="14"/>
        <v>13</v>
      </c>
    </row>
    <row r="159" spans="1:13">
      <c r="A159" t="str">
        <f t="shared" si="10"/>
        <v>徳山大学2158男</v>
      </c>
      <c r="B159" s="149" t="s">
        <v>1250</v>
      </c>
      <c r="C159" s="149">
        <v>2158</v>
      </c>
      <c r="D159" s="149" t="s">
        <v>1273</v>
      </c>
      <c r="E159" s="149" t="s">
        <v>1274</v>
      </c>
      <c r="F159" s="149" t="s">
        <v>265</v>
      </c>
      <c r="G159" s="149" t="s">
        <v>143</v>
      </c>
      <c r="H159" s="151" t="str">
        <f t="shared" si="11"/>
        <v>1994/10/18</v>
      </c>
      <c r="I159" s="149" t="s">
        <v>303</v>
      </c>
      <c r="J159" s="149" t="s">
        <v>419</v>
      </c>
      <c r="K159" s="101" t="str">
        <f t="shared" si="12"/>
        <v>94</v>
      </c>
      <c r="L159" s="101" t="str">
        <f t="shared" si="13"/>
        <v>10</v>
      </c>
      <c r="M159" s="101" t="str">
        <f t="shared" si="14"/>
        <v>18</v>
      </c>
    </row>
    <row r="160" spans="1:13">
      <c r="A160" t="str">
        <f t="shared" si="10"/>
        <v>徳山大学2159男</v>
      </c>
      <c r="B160" s="149" t="s">
        <v>1250</v>
      </c>
      <c r="C160" s="149">
        <v>2159</v>
      </c>
      <c r="D160" s="149" t="s">
        <v>1275</v>
      </c>
      <c r="E160" s="149" t="s">
        <v>1276</v>
      </c>
      <c r="F160" s="149" t="s">
        <v>265</v>
      </c>
      <c r="G160" s="149" t="s">
        <v>143</v>
      </c>
      <c r="H160" s="151" t="str">
        <f t="shared" si="11"/>
        <v>1994/10/12</v>
      </c>
      <c r="I160" s="149" t="s">
        <v>301</v>
      </c>
      <c r="J160" s="149" t="s">
        <v>3699</v>
      </c>
      <c r="K160" s="101" t="str">
        <f t="shared" si="12"/>
        <v>94</v>
      </c>
      <c r="L160" s="101" t="str">
        <f t="shared" si="13"/>
        <v>10</v>
      </c>
      <c r="M160" s="101" t="str">
        <f t="shared" si="14"/>
        <v>12</v>
      </c>
    </row>
    <row r="161" spans="1:13">
      <c r="A161" t="str">
        <f t="shared" si="10"/>
        <v>徳山大学2160男</v>
      </c>
      <c r="B161" s="149" t="s">
        <v>1250</v>
      </c>
      <c r="C161" s="149">
        <v>2160</v>
      </c>
      <c r="D161" s="149" t="s">
        <v>1277</v>
      </c>
      <c r="E161" s="149" t="s">
        <v>1278</v>
      </c>
      <c r="F161" s="149" t="s">
        <v>265</v>
      </c>
      <c r="G161" s="149" t="s">
        <v>143</v>
      </c>
      <c r="H161" s="151" t="str">
        <f t="shared" si="11"/>
        <v>1994/12/15</v>
      </c>
      <c r="I161" s="149" t="s">
        <v>281</v>
      </c>
      <c r="J161" s="149" t="s">
        <v>3700</v>
      </c>
      <c r="K161" s="101" t="str">
        <f t="shared" si="12"/>
        <v>94</v>
      </c>
      <c r="L161" s="101" t="str">
        <f t="shared" si="13"/>
        <v>12</v>
      </c>
      <c r="M161" s="101" t="str">
        <f t="shared" si="14"/>
        <v>15</v>
      </c>
    </row>
    <row r="162" spans="1:13">
      <c r="A162" t="str">
        <f t="shared" si="10"/>
        <v>徳山大学2161男</v>
      </c>
      <c r="B162" s="149" t="s">
        <v>1250</v>
      </c>
      <c r="C162" s="149">
        <v>2161</v>
      </c>
      <c r="D162" s="149" t="s">
        <v>1279</v>
      </c>
      <c r="E162" s="149" t="s">
        <v>1280</v>
      </c>
      <c r="F162" s="149" t="s">
        <v>265</v>
      </c>
      <c r="G162" s="149" t="s">
        <v>143</v>
      </c>
      <c r="H162" s="151" t="str">
        <f t="shared" si="11"/>
        <v>1994/10/01</v>
      </c>
      <c r="I162" s="149" t="s">
        <v>295</v>
      </c>
      <c r="J162" s="149" t="s">
        <v>3701</v>
      </c>
      <c r="K162" s="101" t="str">
        <f t="shared" si="12"/>
        <v>94</v>
      </c>
      <c r="L162" s="101" t="str">
        <f t="shared" si="13"/>
        <v>10</v>
      </c>
      <c r="M162" s="101" t="str">
        <f t="shared" si="14"/>
        <v>01</v>
      </c>
    </row>
    <row r="163" spans="1:13">
      <c r="A163" t="str">
        <f t="shared" si="10"/>
        <v>徳山大学2162男</v>
      </c>
      <c r="B163" s="149" t="s">
        <v>1250</v>
      </c>
      <c r="C163" s="149">
        <v>2162</v>
      </c>
      <c r="D163" s="149" t="s">
        <v>1281</v>
      </c>
      <c r="E163" s="149" t="s">
        <v>1282</v>
      </c>
      <c r="F163" s="149" t="s">
        <v>265</v>
      </c>
      <c r="G163" s="149" t="s">
        <v>143</v>
      </c>
      <c r="H163" s="151" t="str">
        <f t="shared" si="11"/>
        <v>1994/08/10</v>
      </c>
      <c r="I163" s="149" t="s">
        <v>269</v>
      </c>
      <c r="J163" s="149" t="s">
        <v>854</v>
      </c>
      <c r="K163" s="101" t="str">
        <f t="shared" si="12"/>
        <v>94</v>
      </c>
      <c r="L163" s="101" t="str">
        <f t="shared" si="13"/>
        <v>08</v>
      </c>
      <c r="M163" s="101" t="str">
        <f t="shared" si="14"/>
        <v>10</v>
      </c>
    </row>
    <row r="164" spans="1:13">
      <c r="A164" t="str">
        <f t="shared" si="10"/>
        <v>徳山大学2163男</v>
      </c>
      <c r="B164" s="149" t="s">
        <v>1250</v>
      </c>
      <c r="C164" s="149">
        <v>2163</v>
      </c>
      <c r="D164" s="149" t="s">
        <v>1283</v>
      </c>
      <c r="E164" s="149" t="s">
        <v>1284</v>
      </c>
      <c r="F164" s="149" t="s">
        <v>265</v>
      </c>
      <c r="G164" s="149" t="s">
        <v>143</v>
      </c>
      <c r="H164" s="151" t="str">
        <f t="shared" si="11"/>
        <v>1994/08/06</v>
      </c>
      <c r="I164" s="149" t="s">
        <v>290</v>
      </c>
      <c r="J164" s="149" t="s">
        <v>443</v>
      </c>
      <c r="K164" s="101" t="str">
        <f t="shared" si="12"/>
        <v>94</v>
      </c>
      <c r="L164" s="101" t="str">
        <f t="shared" si="13"/>
        <v>08</v>
      </c>
      <c r="M164" s="101" t="str">
        <f t="shared" si="14"/>
        <v>06</v>
      </c>
    </row>
    <row r="165" spans="1:13">
      <c r="A165" t="str">
        <f t="shared" si="10"/>
        <v>徳山大学2164男</v>
      </c>
      <c r="B165" s="149" t="s">
        <v>1250</v>
      </c>
      <c r="C165" s="149">
        <v>2164</v>
      </c>
      <c r="D165" s="149" t="s">
        <v>1285</v>
      </c>
      <c r="E165" s="149" t="s">
        <v>1286</v>
      </c>
      <c r="F165" s="149" t="s">
        <v>265</v>
      </c>
      <c r="G165" s="149" t="s">
        <v>143</v>
      </c>
      <c r="H165" s="151" t="str">
        <f t="shared" si="11"/>
        <v>1994/05/21</v>
      </c>
      <c r="I165" s="149" t="s">
        <v>281</v>
      </c>
      <c r="J165" s="149" t="s">
        <v>516</v>
      </c>
      <c r="K165" s="101" t="str">
        <f t="shared" si="12"/>
        <v>94</v>
      </c>
      <c r="L165" s="101" t="str">
        <f t="shared" si="13"/>
        <v>05</v>
      </c>
      <c r="M165" s="101" t="str">
        <f t="shared" si="14"/>
        <v>21</v>
      </c>
    </row>
    <row r="166" spans="1:13">
      <c r="A166" t="str">
        <f t="shared" si="10"/>
        <v>徳山大学2165男</v>
      </c>
      <c r="B166" s="149" t="s">
        <v>1250</v>
      </c>
      <c r="C166" s="149">
        <v>2165</v>
      </c>
      <c r="D166" s="149" t="s">
        <v>1287</v>
      </c>
      <c r="E166" s="149" t="s">
        <v>1288</v>
      </c>
      <c r="F166" s="149" t="s">
        <v>265</v>
      </c>
      <c r="G166" s="149" t="s">
        <v>143</v>
      </c>
      <c r="H166" s="151" t="str">
        <f t="shared" si="11"/>
        <v>1994/07/25</v>
      </c>
      <c r="I166" s="149" t="s">
        <v>304</v>
      </c>
      <c r="J166" s="149" t="s">
        <v>3636</v>
      </c>
      <c r="K166" s="101" t="str">
        <f t="shared" si="12"/>
        <v>94</v>
      </c>
      <c r="L166" s="101" t="str">
        <f t="shared" si="13"/>
        <v>07</v>
      </c>
      <c r="M166" s="101" t="str">
        <f t="shared" si="14"/>
        <v>25</v>
      </c>
    </row>
    <row r="167" spans="1:13">
      <c r="A167" t="str">
        <f t="shared" si="10"/>
        <v>徳山大学2166男</v>
      </c>
      <c r="B167" s="149" t="s">
        <v>1250</v>
      </c>
      <c r="C167" s="149">
        <v>2166</v>
      </c>
      <c r="D167" s="149" t="s">
        <v>1289</v>
      </c>
      <c r="E167" s="149" t="s">
        <v>1290</v>
      </c>
      <c r="F167" s="149" t="s">
        <v>265</v>
      </c>
      <c r="G167" s="149" t="s">
        <v>143</v>
      </c>
      <c r="H167" s="151" t="str">
        <f t="shared" si="11"/>
        <v>1994/11/05</v>
      </c>
      <c r="I167" s="149" t="s">
        <v>275</v>
      </c>
      <c r="J167" s="149" t="s">
        <v>581</v>
      </c>
      <c r="K167" s="101" t="str">
        <f t="shared" si="12"/>
        <v>94</v>
      </c>
      <c r="L167" s="101" t="str">
        <f t="shared" si="13"/>
        <v>11</v>
      </c>
      <c r="M167" s="101" t="str">
        <f t="shared" si="14"/>
        <v>05</v>
      </c>
    </row>
    <row r="168" spans="1:13">
      <c r="A168" t="str">
        <f t="shared" si="10"/>
        <v>徳山大学2167男</v>
      </c>
      <c r="B168" s="149" t="s">
        <v>1250</v>
      </c>
      <c r="C168" s="149">
        <v>2167</v>
      </c>
      <c r="D168" s="149" t="s">
        <v>1291</v>
      </c>
      <c r="E168" s="149" t="s">
        <v>1292</v>
      </c>
      <c r="F168" s="149" t="s">
        <v>265</v>
      </c>
      <c r="G168" s="149" t="s">
        <v>143</v>
      </c>
      <c r="H168" s="151" t="str">
        <f t="shared" si="11"/>
        <v>1994/05/25</v>
      </c>
      <c r="I168" s="149" t="s">
        <v>281</v>
      </c>
      <c r="J168" s="149" t="s">
        <v>643</v>
      </c>
      <c r="K168" s="101" t="str">
        <f t="shared" si="12"/>
        <v>94</v>
      </c>
      <c r="L168" s="101" t="str">
        <f t="shared" si="13"/>
        <v>05</v>
      </c>
      <c r="M168" s="101" t="str">
        <f t="shared" si="14"/>
        <v>25</v>
      </c>
    </row>
    <row r="169" spans="1:13">
      <c r="A169" t="str">
        <f t="shared" si="10"/>
        <v>徳山大学2168男</v>
      </c>
      <c r="B169" s="149" t="s">
        <v>1250</v>
      </c>
      <c r="C169" s="149">
        <v>2168</v>
      </c>
      <c r="D169" s="149" t="s">
        <v>296</v>
      </c>
      <c r="E169" s="149" t="s">
        <v>297</v>
      </c>
      <c r="F169" s="149" t="s">
        <v>265</v>
      </c>
      <c r="G169" s="149" t="s">
        <v>143</v>
      </c>
      <c r="H169" s="151" t="str">
        <f t="shared" si="11"/>
        <v>1994/05/12</v>
      </c>
      <c r="I169" s="149" t="s">
        <v>269</v>
      </c>
      <c r="J169" s="149" t="s">
        <v>3702</v>
      </c>
      <c r="K169" s="101" t="str">
        <f t="shared" si="12"/>
        <v>94</v>
      </c>
      <c r="L169" s="101" t="str">
        <f t="shared" si="13"/>
        <v>05</v>
      </c>
      <c r="M169" s="101" t="str">
        <f t="shared" si="14"/>
        <v>12</v>
      </c>
    </row>
    <row r="170" spans="1:13">
      <c r="A170" t="str">
        <f t="shared" si="10"/>
        <v>徳山大学2169男</v>
      </c>
      <c r="B170" s="149" t="s">
        <v>1250</v>
      </c>
      <c r="C170" s="149">
        <v>2169</v>
      </c>
      <c r="D170" s="149" t="s">
        <v>1293</v>
      </c>
      <c r="E170" s="149" t="s">
        <v>1294</v>
      </c>
      <c r="F170" s="149" t="s">
        <v>265</v>
      </c>
      <c r="G170" s="149" t="s">
        <v>143</v>
      </c>
      <c r="H170" s="151" t="str">
        <f t="shared" si="11"/>
        <v>1995/11/13</v>
      </c>
      <c r="I170" s="149" t="s">
        <v>299</v>
      </c>
      <c r="J170" s="149" t="s">
        <v>901</v>
      </c>
      <c r="K170" s="101" t="str">
        <f t="shared" si="12"/>
        <v>95</v>
      </c>
      <c r="L170" s="101" t="str">
        <f t="shared" si="13"/>
        <v>11</v>
      </c>
      <c r="M170" s="101" t="str">
        <f t="shared" si="14"/>
        <v>13</v>
      </c>
    </row>
    <row r="171" spans="1:13">
      <c r="A171" t="str">
        <f t="shared" si="10"/>
        <v>徳山大学2170男</v>
      </c>
      <c r="B171" s="149" t="s">
        <v>1250</v>
      </c>
      <c r="C171" s="149">
        <v>2170</v>
      </c>
      <c r="D171" s="149" t="s">
        <v>1295</v>
      </c>
      <c r="E171" s="149" t="s">
        <v>1296</v>
      </c>
      <c r="F171" s="149" t="s">
        <v>267</v>
      </c>
      <c r="G171" s="149" t="s">
        <v>143</v>
      </c>
      <c r="H171" s="151" t="str">
        <f t="shared" si="11"/>
        <v>1995/04/14</v>
      </c>
      <c r="I171" s="149" t="s">
        <v>295</v>
      </c>
      <c r="J171" s="149" t="s">
        <v>662</v>
      </c>
      <c r="K171" s="101" t="str">
        <f t="shared" si="12"/>
        <v>95</v>
      </c>
      <c r="L171" s="101" t="str">
        <f t="shared" si="13"/>
        <v>04</v>
      </c>
      <c r="M171" s="101" t="str">
        <f t="shared" si="14"/>
        <v>14</v>
      </c>
    </row>
    <row r="172" spans="1:13">
      <c r="A172" t="str">
        <f t="shared" si="10"/>
        <v>徳山大学2171男</v>
      </c>
      <c r="B172" s="149" t="s">
        <v>1250</v>
      </c>
      <c r="C172" s="149">
        <v>2171</v>
      </c>
      <c r="D172" s="149" t="s">
        <v>1297</v>
      </c>
      <c r="E172" s="149" t="s">
        <v>1298</v>
      </c>
      <c r="F172" s="149" t="s">
        <v>267</v>
      </c>
      <c r="G172" s="149" t="s">
        <v>143</v>
      </c>
      <c r="H172" s="151" t="str">
        <f t="shared" si="11"/>
        <v>1995/09/16</v>
      </c>
      <c r="I172" s="149" t="s">
        <v>304</v>
      </c>
      <c r="J172" s="149" t="s">
        <v>540</v>
      </c>
      <c r="K172" s="101" t="str">
        <f t="shared" si="12"/>
        <v>95</v>
      </c>
      <c r="L172" s="101" t="str">
        <f t="shared" si="13"/>
        <v>09</v>
      </c>
      <c r="M172" s="101" t="str">
        <f t="shared" si="14"/>
        <v>16</v>
      </c>
    </row>
    <row r="173" spans="1:13">
      <c r="A173" t="str">
        <f t="shared" si="10"/>
        <v>徳山大学2172男</v>
      </c>
      <c r="B173" s="149" t="s">
        <v>1250</v>
      </c>
      <c r="C173" s="149">
        <v>2172</v>
      </c>
      <c r="D173" s="149" t="s">
        <v>1299</v>
      </c>
      <c r="E173" s="149" t="s">
        <v>1300</v>
      </c>
      <c r="F173" s="149" t="s">
        <v>267</v>
      </c>
      <c r="G173" s="149" t="s">
        <v>143</v>
      </c>
      <c r="H173" s="151" t="str">
        <f t="shared" si="11"/>
        <v>1996/02/27</v>
      </c>
      <c r="I173" s="149" t="s">
        <v>281</v>
      </c>
      <c r="J173" s="149" t="s">
        <v>3703</v>
      </c>
      <c r="K173" s="101" t="str">
        <f t="shared" si="12"/>
        <v>96</v>
      </c>
      <c r="L173" s="101" t="str">
        <f t="shared" si="13"/>
        <v>02</v>
      </c>
      <c r="M173" s="101" t="str">
        <f t="shared" si="14"/>
        <v>27</v>
      </c>
    </row>
    <row r="174" spans="1:13">
      <c r="A174" t="str">
        <f t="shared" si="10"/>
        <v>徳山大学2173男</v>
      </c>
      <c r="B174" s="149" t="s">
        <v>1250</v>
      </c>
      <c r="C174" s="149">
        <v>2173</v>
      </c>
      <c r="D174" s="149" t="s">
        <v>1301</v>
      </c>
      <c r="E174" s="149" t="s">
        <v>1302</v>
      </c>
      <c r="F174" s="149" t="s">
        <v>267</v>
      </c>
      <c r="G174" s="149" t="s">
        <v>143</v>
      </c>
      <c r="H174" s="151" t="str">
        <f t="shared" si="11"/>
        <v>1996/02/27</v>
      </c>
      <c r="I174" s="149" t="s">
        <v>275</v>
      </c>
      <c r="J174" s="149" t="s">
        <v>3703</v>
      </c>
      <c r="K174" s="101" t="str">
        <f t="shared" si="12"/>
        <v>96</v>
      </c>
      <c r="L174" s="101" t="str">
        <f t="shared" si="13"/>
        <v>02</v>
      </c>
      <c r="M174" s="101" t="str">
        <f t="shared" si="14"/>
        <v>27</v>
      </c>
    </row>
    <row r="175" spans="1:13">
      <c r="A175" t="str">
        <f t="shared" si="10"/>
        <v>徳山大学2174男</v>
      </c>
      <c r="B175" s="149" t="s">
        <v>1250</v>
      </c>
      <c r="C175" s="149">
        <v>2174</v>
      </c>
      <c r="D175" s="149" t="s">
        <v>1303</v>
      </c>
      <c r="E175" s="149" t="s">
        <v>1304</v>
      </c>
      <c r="F175" s="149" t="s">
        <v>267</v>
      </c>
      <c r="G175" s="149" t="s">
        <v>143</v>
      </c>
      <c r="H175" s="151" t="str">
        <f t="shared" si="11"/>
        <v>1995/05/09</v>
      </c>
      <c r="I175" s="149" t="s">
        <v>281</v>
      </c>
      <c r="J175" s="149" t="s">
        <v>535</v>
      </c>
      <c r="K175" s="101" t="str">
        <f t="shared" si="12"/>
        <v>95</v>
      </c>
      <c r="L175" s="101" t="str">
        <f t="shared" si="13"/>
        <v>05</v>
      </c>
      <c r="M175" s="101" t="str">
        <f t="shared" si="14"/>
        <v>09</v>
      </c>
    </row>
    <row r="176" spans="1:13">
      <c r="A176" t="str">
        <f t="shared" si="10"/>
        <v>徳山大学2175男</v>
      </c>
      <c r="B176" s="149" t="s">
        <v>1250</v>
      </c>
      <c r="C176" s="149">
        <v>2175</v>
      </c>
      <c r="D176" s="149" t="s">
        <v>1305</v>
      </c>
      <c r="E176" s="149" t="s">
        <v>1306</v>
      </c>
      <c r="F176" s="149" t="s">
        <v>267</v>
      </c>
      <c r="G176" s="149" t="s">
        <v>143</v>
      </c>
      <c r="H176" s="151" t="str">
        <f t="shared" si="11"/>
        <v>1996/01/14</v>
      </c>
      <c r="I176" s="149" t="s">
        <v>290</v>
      </c>
      <c r="J176" s="149" t="s">
        <v>875</v>
      </c>
      <c r="K176" s="101" t="str">
        <f t="shared" si="12"/>
        <v>96</v>
      </c>
      <c r="L176" s="101" t="str">
        <f t="shared" si="13"/>
        <v>01</v>
      </c>
      <c r="M176" s="101" t="str">
        <f t="shared" si="14"/>
        <v>14</v>
      </c>
    </row>
    <row r="177" spans="1:13">
      <c r="A177" t="str">
        <f t="shared" si="10"/>
        <v>徳山大学2176男</v>
      </c>
      <c r="B177" s="149" t="s">
        <v>1250</v>
      </c>
      <c r="C177" s="149">
        <v>2176</v>
      </c>
      <c r="D177" s="149" t="s">
        <v>1307</v>
      </c>
      <c r="E177" s="149" t="s">
        <v>1308</v>
      </c>
      <c r="F177" s="149" t="s">
        <v>267</v>
      </c>
      <c r="G177" s="149" t="s">
        <v>143</v>
      </c>
      <c r="H177" s="151" t="str">
        <f t="shared" si="11"/>
        <v>1995/06/24</v>
      </c>
      <c r="I177" s="149" t="s">
        <v>304</v>
      </c>
      <c r="J177" s="149" t="s">
        <v>447</v>
      </c>
      <c r="K177" s="101" t="str">
        <f t="shared" si="12"/>
        <v>95</v>
      </c>
      <c r="L177" s="101" t="str">
        <f t="shared" si="13"/>
        <v>06</v>
      </c>
      <c r="M177" s="101" t="str">
        <f t="shared" si="14"/>
        <v>24</v>
      </c>
    </row>
    <row r="178" spans="1:13">
      <c r="A178" t="str">
        <f t="shared" si="10"/>
        <v>徳山大学2177男</v>
      </c>
      <c r="B178" s="149" t="s">
        <v>1250</v>
      </c>
      <c r="C178" s="149">
        <v>2177</v>
      </c>
      <c r="D178" s="149" t="s">
        <v>1309</v>
      </c>
      <c r="E178" s="149" t="s">
        <v>1310</v>
      </c>
      <c r="F178" s="149" t="s">
        <v>267</v>
      </c>
      <c r="G178" s="149" t="s">
        <v>143</v>
      </c>
      <c r="H178" s="151" t="str">
        <f t="shared" si="11"/>
        <v>1995/12/20</v>
      </c>
      <c r="I178" s="149" t="s">
        <v>275</v>
      </c>
      <c r="J178" s="149" t="s">
        <v>602</v>
      </c>
      <c r="K178" s="101" t="str">
        <f t="shared" si="12"/>
        <v>95</v>
      </c>
      <c r="L178" s="101" t="str">
        <f t="shared" si="13"/>
        <v>12</v>
      </c>
      <c r="M178" s="101" t="str">
        <f t="shared" si="14"/>
        <v>20</v>
      </c>
    </row>
    <row r="179" spans="1:13">
      <c r="A179" t="str">
        <f t="shared" si="10"/>
        <v>山口大学2178男</v>
      </c>
      <c r="B179" s="149" t="s">
        <v>1311</v>
      </c>
      <c r="C179" s="149">
        <v>2178</v>
      </c>
      <c r="D179" s="149" t="s">
        <v>1312</v>
      </c>
      <c r="E179" s="149" t="s">
        <v>1313</v>
      </c>
      <c r="F179" s="149" t="s">
        <v>265</v>
      </c>
      <c r="G179" s="149" t="s">
        <v>143</v>
      </c>
      <c r="H179" s="151" t="str">
        <f t="shared" si="11"/>
        <v>1994/05/15</v>
      </c>
      <c r="I179" s="149" t="s">
        <v>269</v>
      </c>
      <c r="J179" s="149" t="s">
        <v>867</v>
      </c>
      <c r="K179" s="101" t="str">
        <f t="shared" si="12"/>
        <v>94</v>
      </c>
      <c r="L179" s="101" t="str">
        <f t="shared" si="13"/>
        <v>05</v>
      </c>
      <c r="M179" s="101" t="str">
        <f t="shared" si="14"/>
        <v>15</v>
      </c>
    </row>
    <row r="180" spans="1:13">
      <c r="A180" t="str">
        <f t="shared" si="10"/>
        <v>山口大学2179男</v>
      </c>
      <c r="B180" s="149" t="s">
        <v>1311</v>
      </c>
      <c r="C180" s="149">
        <v>2179</v>
      </c>
      <c r="D180" s="149" t="s">
        <v>1314</v>
      </c>
      <c r="E180" s="149" t="s">
        <v>1315</v>
      </c>
      <c r="F180" s="149" t="s">
        <v>265</v>
      </c>
      <c r="G180" s="149" t="s">
        <v>143</v>
      </c>
      <c r="H180" s="151" t="str">
        <f t="shared" si="11"/>
        <v>1994/09/13</v>
      </c>
      <c r="I180" s="149" t="s">
        <v>269</v>
      </c>
      <c r="J180" s="149" t="s">
        <v>536</v>
      </c>
      <c r="K180" s="101" t="str">
        <f t="shared" si="12"/>
        <v>94</v>
      </c>
      <c r="L180" s="101" t="str">
        <f t="shared" si="13"/>
        <v>09</v>
      </c>
      <c r="M180" s="101" t="str">
        <f t="shared" si="14"/>
        <v>13</v>
      </c>
    </row>
    <row r="181" spans="1:13">
      <c r="A181" t="str">
        <f t="shared" si="10"/>
        <v>山口大学2180男</v>
      </c>
      <c r="B181" s="149" t="s">
        <v>1311</v>
      </c>
      <c r="C181" s="149">
        <v>2180</v>
      </c>
      <c r="D181" s="149" t="s">
        <v>1316</v>
      </c>
      <c r="E181" s="149" t="s">
        <v>1317</v>
      </c>
      <c r="F181" s="149" t="s">
        <v>260</v>
      </c>
      <c r="G181" s="149" t="s">
        <v>143</v>
      </c>
      <c r="H181" s="151" t="str">
        <f t="shared" si="11"/>
        <v>1993/12/04</v>
      </c>
      <c r="I181" s="149" t="s">
        <v>269</v>
      </c>
      <c r="J181" s="149" t="s">
        <v>560</v>
      </c>
      <c r="K181" s="101" t="str">
        <f t="shared" si="12"/>
        <v>93</v>
      </c>
      <c r="L181" s="101" t="str">
        <f t="shared" si="13"/>
        <v>12</v>
      </c>
      <c r="M181" s="101" t="str">
        <f t="shared" si="14"/>
        <v>04</v>
      </c>
    </row>
    <row r="182" spans="1:13">
      <c r="A182" t="str">
        <f t="shared" si="10"/>
        <v>山口大学2181男</v>
      </c>
      <c r="B182" s="149" t="s">
        <v>1311</v>
      </c>
      <c r="C182" s="149">
        <v>2181</v>
      </c>
      <c r="D182" s="149" t="s">
        <v>1318</v>
      </c>
      <c r="E182" s="149" t="s">
        <v>1319</v>
      </c>
      <c r="F182" s="149" t="s">
        <v>260</v>
      </c>
      <c r="G182" s="149" t="s">
        <v>143</v>
      </c>
      <c r="H182" s="151" t="str">
        <f t="shared" si="11"/>
        <v>1993/07/29</v>
      </c>
      <c r="I182" s="149" t="s">
        <v>269</v>
      </c>
      <c r="J182" s="149" t="s">
        <v>3704</v>
      </c>
      <c r="K182" s="101" t="str">
        <f t="shared" si="12"/>
        <v>93</v>
      </c>
      <c r="L182" s="101" t="str">
        <f t="shared" si="13"/>
        <v>07</v>
      </c>
      <c r="M182" s="101" t="str">
        <f t="shared" si="14"/>
        <v>29</v>
      </c>
    </row>
    <row r="183" spans="1:13">
      <c r="A183" t="str">
        <f t="shared" si="10"/>
        <v>山口大学2182男</v>
      </c>
      <c r="B183" s="149" t="s">
        <v>1311</v>
      </c>
      <c r="C183" s="149">
        <v>2182</v>
      </c>
      <c r="D183" s="149" t="s">
        <v>1320</v>
      </c>
      <c r="E183" s="149" t="s">
        <v>1321</v>
      </c>
      <c r="F183" s="149" t="s">
        <v>265</v>
      </c>
      <c r="G183" s="149" t="s">
        <v>143</v>
      </c>
      <c r="H183" s="151" t="str">
        <f t="shared" si="11"/>
        <v>1994/08/25</v>
      </c>
      <c r="I183" s="149" t="s">
        <v>269</v>
      </c>
      <c r="J183" s="149" t="s">
        <v>658</v>
      </c>
      <c r="K183" s="101" t="str">
        <f t="shared" si="12"/>
        <v>94</v>
      </c>
      <c r="L183" s="101" t="str">
        <f t="shared" si="13"/>
        <v>08</v>
      </c>
      <c r="M183" s="101" t="str">
        <f t="shared" si="14"/>
        <v>25</v>
      </c>
    </row>
    <row r="184" spans="1:13">
      <c r="A184" t="str">
        <f t="shared" si="10"/>
        <v>山口大学2183男</v>
      </c>
      <c r="B184" s="149" t="s">
        <v>1311</v>
      </c>
      <c r="C184" s="149">
        <v>2183</v>
      </c>
      <c r="D184" s="149" t="s">
        <v>1322</v>
      </c>
      <c r="E184" s="149" t="s">
        <v>1323</v>
      </c>
      <c r="F184" s="149" t="s">
        <v>267</v>
      </c>
      <c r="G184" s="149" t="s">
        <v>143</v>
      </c>
      <c r="H184" s="151" t="str">
        <f t="shared" si="11"/>
        <v>1995/06/19</v>
      </c>
      <c r="I184" s="149" t="s">
        <v>269</v>
      </c>
      <c r="J184" s="149" t="s">
        <v>3705</v>
      </c>
      <c r="K184" s="101" t="str">
        <f t="shared" si="12"/>
        <v>95</v>
      </c>
      <c r="L184" s="101" t="str">
        <f t="shared" si="13"/>
        <v>06</v>
      </c>
      <c r="M184" s="101" t="str">
        <f t="shared" si="14"/>
        <v>19</v>
      </c>
    </row>
    <row r="185" spans="1:13">
      <c r="A185" t="str">
        <f t="shared" si="10"/>
        <v>山口大学2184男</v>
      </c>
      <c r="B185" s="149" t="s">
        <v>1311</v>
      </c>
      <c r="C185" s="149">
        <v>2184</v>
      </c>
      <c r="D185" s="149" t="s">
        <v>1324</v>
      </c>
      <c r="E185" s="149" t="s">
        <v>1325</v>
      </c>
      <c r="F185" s="149" t="s">
        <v>260</v>
      </c>
      <c r="G185" s="149" t="s">
        <v>143</v>
      </c>
      <c r="H185" s="151" t="str">
        <f t="shared" si="11"/>
        <v>1992/07/15</v>
      </c>
      <c r="I185" s="149" t="s">
        <v>278</v>
      </c>
      <c r="J185" s="149" t="s">
        <v>3706</v>
      </c>
      <c r="K185" s="101" t="str">
        <f t="shared" si="12"/>
        <v>92</v>
      </c>
      <c r="L185" s="101" t="str">
        <f t="shared" si="13"/>
        <v>07</v>
      </c>
      <c r="M185" s="101" t="str">
        <f t="shared" si="14"/>
        <v>15</v>
      </c>
    </row>
    <row r="186" spans="1:13">
      <c r="A186" t="str">
        <f t="shared" si="10"/>
        <v>山口大学2185男</v>
      </c>
      <c r="B186" s="149" t="s">
        <v>1311</v>
      </c>
      <c r="C186" s="149">
        <v>2185</v>
      </c>
      <c r="D186" s="149" t="s">
        <v>1326</v>
      </c>
      <c r="E186" s="149" t="s">
        <v>1327</v>
      </c>
      <c r="F186" s="149" t="s">
        <v>260</v>
      </c>
      <c r="G186" s="149" t="s">
        <v>143</v>
      </c>
      <c r="H186" s="151" t="str">
        <f t="shared" si="11"/>
        <v>1994/03/06</v>
      </c>
      <c r="I186" s="149" t="s">
        <v>269</v>
      </c>
      <c r="J186" s="149" t="s">
        <v>3707</v>
      </c>
      <c r="K186" s="101" t="str">
        <f t="shared" si="12"/>
        <v>94</v>
      </c>
      <c r="L186" s="101" t="str">
        <f t="shared" si="13"/>
        <v>03</v>
      </c>
      <c r="M186" s="101" t="str">
        <f t="shared" si="14"/>
        <v>06</v>
      </c>
    </row>
    <row r="187" spans="1:13">
      <c r="A187" t="str">
        <f t="shared" si="10"/>
        <v>山口大学2186男</v>
      </c>
      <c r="B187" s="149" t="s">
        <v>1311</v>
      </c>
      <c r="C187" s="149">
        <v>2186</v>
      </c>
      <c r="D187" s="149" t="s">
        <v>1328</v>
      </c>
      <c r="E187" s="149" t="s">
        <v>1329</v>
      </c>
      <c r="F187" s="149" t="s">
        <v>265</v>
      </c>
      <c r="G187" s="149" t="s">
        <v>143</v>
      </c>
      <c r="H187" s="151" t="str">
        <f t="shared" si="11"/>
        <v>1994/06/14</v>
      </c>
      <c r="I187" s="149" t="s">
        <v>269</v>
      </c>
      <c r="J187" s="149" t="s">
        <v>3708</v>
      </c>
      <c r="K187" s="101" t="str">
        <f t="shared" si="12"/>
        <v>94</v>
      </c>
      <c r="L187" s="101" t="str">
        <f t="shared" si="13"/>
        <v>06</v>
      </c>
      <c r="M187" s="101" t="str">
        <f t="shared" si="14"/>
        <v>14</v>
      </c>
    </row>
    <row r="188" spans="1:13">
      <c r="A188" t="str">
        <f t="shared" si="10"/>
        <v>山口大学2187男</v>
      </c>
      <c r="B188" s="149" t="s">
        <v>1311</v>
      </c>
      <c r="C188" s="149">
        <v>2187</v>
      </c>
      <c r="D188" s="149" t="s">
        <v>1330</v>
      </c>
      <c r="E188" s="149" t="s">
        <v>1331</v>
      </c>
      <c r="F188" s="149" t="s">
        <v>260</v>
      </c>
      <c r="G188" s="149" t="s">
        <v>143</v>
      </c>
      <c r="H188" s="151" t="str">
        <f t="shared" si="11"/>
        <v>1993/06/26</v>
      </c>
      <c r="I188" s="149" t="s">
        <v>269</v>
      </c>
      <c r="J188" s="149" t="s">
        <v>3709</v>
      </c>
      <c r="K188" s="101" t="str">
        <f t="shared" si="12"/>
        <v>93</v>
      </c>
      <c r="L188" s="101" t="str">
        <f t="shared" si="13"/>
        <v>06</v>
      </c>
      <c r="M188" s="101" t="str">
        <f t="shared" si="14"/>
        <v>26</v>
      </c>
    </row>
    <row r="189" spans="1:13">
      <c r="A189" t="str">
        <f t="shared" si="10"/>
        <v>山口大学2188男</v>
      </c>
      <c r="B189" s="149" t="s">
        <v>1311</v>
      </c>
      <c r="C189" s="149">
        <v>2188</v>
      </c>
      <c r="D189" s="149" t="s">
        <v>1332</v>
      </c>
      <c r="E189" s="149" t="s">
        <v>1333</v>
      </c>
      <c r="F189" s="149" t="s">
        <v>265</v>
      </c>
      <c r="G189" s="149" t="s">
        <v>143</v>
      </c>
      <c r="H189" s="151" t="str">
        <f t="shared" si="11"/>
        <v>1995/02/24</v>
      </c>
      <c r="I189" s="149" t="s">
        <v>269</v>
      </c>
      <c r="J189" s="149" t="s">
        <v>3710</v>
      </c>
      <c r="K189" s="101" t="str">
        <f t="shared" si="12"/>
        <v>95</v>
      </c>
      <c r="L189" s="101" t="str">
        <f t="shared" si="13"/>
        <v>02</v>
      </c>
      <c r="M189" s="101" t="str">
        <f t="shared" si="14"/>
        <v>24</v>
      </c>
    </row>
    <row r="190" spans="1:13">
      <c r="A190" t="str">
        <f t="shared" si="10"/>
        <v>山口大学2189男</v>
      </c>
      <c r="B190" s="149" t="s">
        <v>1311</v>
      </c>
      <c r="C190" s="149">
        <v>2189</v>
      </c>
      <c r="D190" s="149" t="s">
        <v>1334</v>
      </c>
      <c r="E190" s="149" t="s">
        <v>1335</v>
      </c>
      <c r="F190" s="149" t="s">
        <v>267</v>
      </c>
      <c r="G190" s="149" t="s">
        <v>143</v>
      </c>
      <c r="H190" s="151" t="str">
        <f t="shared" si="11"/>
        <v>1995/01/04</v>
      </c>
      <c r="I190" s="149" t="s">
        <v>269</v>
      </c>
      <c r="J190" s="149" t="s">
        <v>935</v>
      </c>
      <c r="K190" s="101" t="str">
        <f t="shared" si="12"/>
        <v>95</v>
      </c>
      <c r="L190" s="101" t="str">
        <f t="shared" si="13"/>
        <v>01</v>
      </c>
      <c r="M190" s="101" t="str">
        <f t="shared" si="14"/>
        <v>04</v>
      </c>
    </row>
    <row r="191" spans="1:13">
      <c r="A191" t="str">
        <f t="shared" si="10"/>
        <v>山口大学2190男</v>
      </c>
      <c r="B191" s="149" t="s">
        <v>1311</v>
      </c>
      <c r="C191" s="149">
        <v>2190</v>
      </c>
      <c r="D191" s="149" t="s">
        <v>1336</v>
      </c>
      <c r="E191" s="149" t="s">
        <v>1337</v>
      </c>
      <c r="F191" s="149" t="s">
        <v>267</v>
      </c>
      <c r="G191" s="149" t="s">
        <v>143</v>
      </c>
      <c r="H191" s="151" t="str">
        <f t="shared" si="11"/>
        <v>1995/09/07</v>
      </c>
      <c r="I191" s="149" t="s">
        <v>269</v>
      </c>
      <c r="J191" s="149" t="s">
        <v>3711</v>
      </c>
      <c r="K191" s="101" t="str">
        <f t="shared" si="12"/>
        <v>95</v>
      </c>
      <c r="L191" s="101" t="str">
        <f t="shared" si="13"/>
        <v>09</v>
      </c>
      <c r="M191" s="101" t="str">
        <f t="shared" si="14"/>
        <v>07</v>
      </c>
    </row>
    <row r="192" spans="1:13">
      <c r="A192" t="str">
        <f t="shared" si="10"/>
        <v>山口大学2191男</v>
      </c>
      <c r="B192" s="149" t="s">
        <v>1311</v>
      </c>
      <c r="C192" s="149">
        <v>2191</v>
      </c>
      <c r="D192" s="149" t="s">
        <v>1338</v>
      </c>
      <c r="E192" s="149" t="s">
        <v>1339</v>
      </c>
      <c r="F192" s="149" t="s">
        <v>260</v>
      </c>
      <c r="G192" s="149" t="s">
        <v>143</v>
      </c>
      <c r="H192" s="151" t="str">
        <f t="shared" si="11"/>
        <v>1993/10/26</v>
      </c>
      <c r="I192" s="149" t="s">
        <v>269</v>
      </c>
      <c r="J192" s="149" t="s">
        <v>886</v>
      </c>
      <c r="K192" s="101" t="str">
        <f t="shared" si="12"/>
        <v>93</v>
      </c>
      <c r="L192" s="101" t="str">
        <f t="shared" si="13"/>
        <v>10</v>
      </c>
      <c r="M192" s="101" t="str">
        <f t="shared" si="14"/>
        <v>26</v>
      </c>
    </row>
    <row r="193" spans="1:13">
      <c r="A193" t="str">
        <f t="shared" si="10"/>
        <v>山口大学2192男</v>
      </c>
      <c r="B193" s="149" t="s">
        <v>1311</v>
      </c>
      <c r="C193" s="149">
        <v>2192</v>
      </c>
      <c r="D193" s="149" t="s">
        <v>1340</v>
      </c>
      <c r="E193" s="149" t="s">
        <v>1341</v>
      </c>
      <c r="F193" s="149" t="s">
        <v>265</v>
      </c>
      <c r="G193" s="149" t="s">
        <v>143</v>
      </c>
      <c r="H193" s="151" t="str">
        <f t="shared" si="11"/>
        <v>1995/02/23</v>
      </c>
      <c r="I193" s="149" t="s">
        <v>277</v>
      </c>
      <c r="J193" s="149" t="s">
        <v>949</v>
      </c>
      <c r="K193" s="101" t="str">
        <f t="shared" si="12"/>
        <v>95</v>
      </c>
      <c r="L193" s="101" t="str">
        <f t="shared" si="13"/>
        <v>02</v>
      </c>
      <c r="M193" s="101" t="str">
        <f t="shared" si="14"/>
        <v>23</v>
      </c>
    </row>
    <row r="194" spans="1:13">
      <c r="A194" t="str">
        <f t="shared" ref="A194:A257" si="15">B194&amp;C194&amp;G194</f>
        <v>福山大学2193男</v>
      </c>
      <c r="B194" s="149" t="s">
        <v>1342</v>
      </c>
      <c r="C194" s="149">
        <v>2193</v>
      </c>
      <c r="D194" s="149" t="s">
        <v>1343</v>
      </c>
      <c r="E194" s="149" t="s">
        <v>1344</v>
      </c>
      <c r="F194" s="149" t="s">
        <v>260</v>
      </c>
      <c r="G194" s="149" t="s">
        <v>143</v>
      </c>
      <c r="H194" s="151" t="str">
        <f t="shared" si="11"/>
        <v>1993/10/30</v>
      </c>
      <c r="I194" s="149" t="s">
        <v>269</v>
      </c>
      <c r="J194" s="149" t="s">
        <v>3712</v>
      </c>
      <c r="K194" s="101" t="str">
        <f t="shared" si="12"/>
        <v>93</v>
      </c>
      <c r="L194" s="101" t="str">
        <f t="shared" si="13"/>
        <v>10</v>
      </c>
      <c r="M194" s="101" t="str">
        <f t="shared" si="14"/>
        <v>30</v>
      </c>
    </row>
    <row r="195" spans="1:13">
      <c r="A195" t="str">
        <f t="shared" si="15"/>
        <v>福山大学2194男</v>
      </c>
      <c r="B195" s="149" t="s">
        <v>1342</v>
      </c>
      <c r="C195" s="149">
        <v>2194</v>
      </c>
      <c r="D195" s="149" t="s">
        <v>1345</v>
      </c>
      <c r="E195" s="149" t="s">
        <v>1346</v>
      </c>
      <c r="F195" s="149" t="s">
        <v>260</v>
      </c>
      <c r="G195" s="149" t="s">
        <v>143</v>
      </c>
      <c r="H195" s="151" t="str">
        <f t="shared" ref="H195:H258" si="16">"19"&amp;K195&amp;"/"&amp;L195&amp;"/"&amp;M195</f>
        <v>1993/09/22</v>
      </c>
      <c r="I195" s="149" t="s">
        <v>281</v>
      </c>
      <c r="J195" s="149" t="s">
        <v>510</v>
      </c>
      <c r="K195" s="101" t="str">
        <f t="shared" ref="K195:K258" si="17">MID(J195,1,2)</f>
        <v>93</v>
      </c>
      <c r="L195" s="101" t="str">
        <f t="shared" ref="L195:L258" si="18">MID(J195,3,2)</f>
        <v>09</v>
      </c>
      <c r="M195" s="101" t="str">
        <f t="shared" ref="M195:M258" si="19">MID(J195,5,2)</f>
        <v>22</v>
      </c>
    </row>
    <row r="196" spans="1:13">
      <c r="A196" t="str">
        <f t="shared" si="15"/>
        <v>福山大学2195男</v>
      </c>
      <c r="B196" s="149" t="s">
        <v>1342</v>
      </c>
      <c r="C196" s="149">
        <v>2195</v>
      </c>
      <c r="D196" s="149" t="s">
        <v>1347</v>
      </c>
      <c r="E196" s="149" t="s">
        <v>1348</v>
      </c>
      <c r="F196" s="149" t="s">
        <v>260</v>
      </c>
      <c r="G196" s="149" t="s">
        <v>143</v>
      </c>
      <c r="H196" s="151" t="str">
        <f t="shared" si="16"/>
        <v>1993/06/30</v>
      </c>
      <c r="I196" s="149" t="s">
        <v>295</v>
      </c>
      <c r="J196" s="149" t="s">
        <v>633</v>
      </c>
      <c r="K196" s="101" t="str">
        <f t="shared" si="17"/>
        <v>93</v>
      </c>
      <c r="L196" s="101" t="str">
        <f t="shared" si="18"/>
        <v>06</v>
      </c>
      <c r="M196" s="101" t="str">
        <f t="shared" si="19"/>
        <v>30</v>
      </c>
    </row>
    <row r="197" spans="1:13">
      <c r="A197" t="str">
        <f t="shared" si="15"/>
        <v>福山大学2196男</v>
      </c>
      <c r="B197" s="149" t="s">
        <v>1342</v>
      </c>
      <c r="C197" s="149">
        <v>2196</v>
      </c>
      <c r="D197" s="149" t="s">
        <v>1349</v>
      </c>
      <c r="E197" s="149" t="s">
        <v>1350</v>
      </c>
      <c r="F197" s="149" t="s">
        <v>260</v>
      </c>
      <c r="G197" s="149" t="s">
        <v>143</v>
      </c>
      <c r="H197" s="151" t="str">
        <f t="shared" si="16"/>
        <v>1993/08/27</v>
      </c>
      <c r="I197" s="149" t="s">
        <v>281</v>
      </c>
      <c r="J197" s="149" t="s">
        <v>577</v>
      </c>
      <c r="K197" s="101" t="str">
        <f t="shared" si="17"/>
        <v>93</v>
      </c>
      <c r="L197" s="101" t="str">
        <f t="shared" si="18"/>
        <v>08</v>
      </c>
      <c r="M197" s="101" t="str">
        <f t="shared" si="19"/>
        <v>27</v>
      </c>
    </row>
    <row r="198" spans="1:13">
      <c r="A198" t="str">
        <f t="shared" si="15"/>
        <v>福山大学2197男</v>
      </c>
      <c r="B198" s="149" t="s">
        <v>1342</v>
      </c>
      <c r="C198" s="149">
        <v>2197</v>
      </c>
      <c r="D198" s="149" t="s">
        <v>1351</v>
      </c>
      <c r="E198" s="149" t="s">
        <v>1352</v>
      </c>
      <c r="F198" s="149" t="s">
        <v>265</v>
      </c>
      <c r="G198" s="149" t="s">
        <v>143</v>
      </c>
      <c r="H198" s="151" t="str">
        <f t="shared" si="16"/>
        <v>1995/01/06</v>
      </c>
      <c r="I198" s="149" t="s">
        <v>289</v>
      </c>
      <c r="J198" s="149" t="s">
        <v>628</v>
      </c>
      <c r="K198" s="101" t="str">
        <f t="shared" si="17"/>
        <v>95</v>
      </c>
      <c r="L198" s="101" t="str">
        <f t="shared" si="18"/>
        <v>01</v>
      </c>
      <c r="M198" s="101" t="str">
        <f t="shared" si="19"/>
        <v>06</v>
      </c>
    </row>
    <row r="199" spans="1:13">
      <c r="A199" t="str">
        <f t="shared" si="15"/>
        <v>福山大学2198男</v>
      </c>
      <c r="B199" s="149" t="s">
        <v>1342</v>
      </c>
      <c r="C199" s="149">
        <v>2198</v>
      </c>
      <c r="D199" s="149" t="s">
        <v>1353</v>
      </c>
      <c r="E199" s="149" t="s">
        <v>1354</v>
      </c>
      <c r="F199" s="149" t="s">
        <v>267</v>
      </c>
      <c r="G199" s="149" t="s">
        <v>143</v>
      </c>
      <c r="H199" s="151" t="str">
        <f t="shared" si="16"/>
        <v>1995/05/25</v>
      </c>
      <c r="I199" s="149" t="s">
        <v>295</v>
      </c>
      <c r="J199" s="149" t="s">
        <v>422</v>
      </c>
      <c r="K199" s="101" t="str">
        <f t="shared" si="17"/>
        <v>95</v>
      </c>
      <c r="L199" s="101" t="str">
        <f t="shared" si="18"/>
        <v>05</v>
      </c>
      <c r="M199" s="101" t="str">
        <f t="shared" si="19"/>
        <v>25</v>
      </c>
    </row>
    <row r="200" spans="1:13">
      <c r="A200" t="str">
        <f t="shared" si="15"/>
        <v>福山大学2199男</v>
      </c>
      <c r="B200" s="149" t="s">
        <v>1342</v>
      </c>
      <c r="C200" s="149">
        <v>2199</v>
      </c>
      <c r="D200" s="149" t="s">
        <v>1355</v>
      </c>
      <c r="E200" s="149" t="s">
        <v>1356</v>
      </c>
      <c r="F200" s="149" t="s">
        <v>267</v>
      </c>
      <c r="G200" s="149" t="s">
        <v>143</v>
      </c>
      <c r="H200" s="151" t="str">
        <f t="shared" si="16"/>
        <v>1995/11/02</v>
      </c>
      <c r="I200" s="149" t="s">
        <v>301</v>
      </c>
      <c r="J200" s="149" t="s">
        <v>389</v>
      </c>
      <c r="K200" s="101" t="str">
        <f t="shared" si="17"/>
        <v>95</v>
      </c>
      <c r="L200" s="101" t="str">
        <f t="shared" si="18"/>
        <v>11</v>
      </c>
      <c r="M200" s="101" t="str">
        <f t="shared" si="19"/>
        <v>02</v>
      </c>
    </row>
    <row r="201" spans="1:13">
      <c r="A201" t="str">
        <f t="shared" si="15"/>
        <v>福山大学2200男</v>
      </c>
      <c r="B201" s="149" t="s">
        <v>1342</v>
      </c>
      <c r="C201" s="149">
        <v>2200</v>
      </c>
      <c r="D201" s="149" t="s">
        <v>1357</v>
      </c>
      <c r="E201" s="149" t="s">
        <v>1358</v>
      </c>
      <c r="F201" s="149" t="s">
        <v>267</v>
      </c>
      <c r="G201" s="149" t="s">
        <v>143</v>
      </c>
      <c r="H201" s="151" t="str">
        <f t="shared" si="16"/>
        <v>1995/04/03</v>
      </c>
      <c r="I201" s="149" t="s">
        <v>295</v>
      </c>
      <c r="J201" s="149" t="s">
        <v>492</v>
      </c>
      <c r="K201" s="101" t="str">
        <f t="shared" si="17"/>
        <v>95</v>
      </c>
      <c r="L201" s="101" t="str">
        <f t="shared" si="18"/>
        <v>04</v>
      </c>
      <c r="M201" s="101" t="str">
        <f t="shared" si="19"/>
        <v>03</v>
      </c>
    </row>
    <row r="202" spans="1:13">
      <c r="A202" t="str">
        <f t="shared" si="15"/>
        <v>福山大学2201男</v>
      </c>
      <c r="B202" s="149" t="s">
        <v>1342</v>
      </c>
      <c r="C202" s="149">
        <v>2201</v>
      </c>
      <c r="D202" s="149" t="s">
        <v>1359</v>
      </c>
      <c r="E202" s="149" t="s">
        <v>1360</v>
      </c>
      <c r="F202" s="149" t="s">
        <v>267</v>
      </c>
      <c r="G202" s="149" t="s">
        <v>143</v>
      </c>
      <c r="H202" s="151" t="str">
        <f t="shared" si="16"/>
        <v>1995/05/03</v>
      </c>
      <c r="I202" s="149" t="s">
        <v>295</v>
      </c>
      <c r="J202" s="149" t="s">
        <v>494</v>
      </c>
      <c r="K202" s="101" t="str">
        <f t="shared" si="17"/>
        <v>95</v>
      </c>
      <c r="L202" s="101" t="str">
        <f t="shared" si="18"/>
        <v>05</v>
      </c>
      <c r="M202" s="101" t="str">
        <f t="shared" si="19"/>
        <v>03</v>
      </c>
    </row>
    <row r="203" spans="1:13">
      <c r="A203" t="str">
        <f t="shared" si="15"/>
        <v>広島国際大学2202男</v>
      </c>
      <c r="B203" s="149" t="s">
        <v>1361</v>
      </c>
      <c r="C203" s="149">
        <v>2202</v>
      </c>
      <c r="D203" s="149" t="s">
        <v>1362</v>
      </c>
      <c r="E203" s="149" t="s">
        <v>1363</v>
      </c>
      <c r="F203" s="149" t="s">
        <v>260</v>
      </c>
      <c r="G203" s="149" t="s">
        <v>143</v>
      </c>
      <c r="H203" s="151" t="str">
        <f t="shared" si="16"/>
        <v>1993/08/09</v>
      </c>
      <c r="I203" s="149" t="s">
        <v>295</v>
      </c>
      <c r="J203" s="149" t="s">
        <v>553</v>
      </c>
      <c r="K203" s="101" t="str">
        <f t="shared" si="17"/>
        <v>93</v>
      </c>
      <c r="L203" s="101" t="str">
        <f t="shared" si="18"/>
        <v>08</v>
      </c>
      <c r="M203" s="101" t="str">
        <f t="shared" si="19"/>
        <v>09</v>
      </c>
    </row>
    <row r="204" spans="1:13">
      <c r="A204" t="str">
        <f t="shared" si="15"/>
        <v>広島大学2203男</v>
      </c>
      <c r="B204" s="149" t="s">
        <v>1364</v>
      </c>
      <c r="C204" s="149">
        <v>2203</v>
      </c>
      <c r="D204" s="149" t="s">
        <v>1365</v>
      </c>
      <c r="E204" s="149" t="s">
        <v>1366</v>
      </c>
      <c r="F204" s="149" t="s">
        <v>3622</v>
      </c>
      <c r="G204" s="149" t="s">
        <v>143</v>
      </c>
      <c r="H204" s="151" t="str">
        <f t="shared" si="16"/>
        <v>1990/05/07</v>
      </c>
      <c r="I204" s="149" t="s">
        <v>295</v>
      </c>
      <c r="J204" s="149" t="s">
        <v>3713</v>
      </c>
      <c r="K204" s="101" t="str">
        <f t="shared" si="17"/>
        <v>90</v>
      </c>
      <c r="L204" s="101" t="str">
        <f t="shared" si="18"/>
        <v>05</v>
      </c>
      <c r="M204" s="101" t="str">
        <f t="shared" si="19"/>
        <v>07</v>
      </c>
    </row>
    <row r="205" spans="1:13">
      <c r="A205" t="str">
        <f t="shared" si="15"/>
        <v>広島大学2204男</v>
      </c>
      <c r="B205" s="149" t="s">
        <v>1364</v>
      </c>
      <c r="C205" s="149">
        <v>2204</v>
      </c>
      <c r="D205" s="149" t="s">
        <v>1367</v>
      </c>
      <c r="E205" s="149" t="s">
        <v>1368</v>
      </c>
      <c r="F205" s="149" t="s">
        <v>262</v>
      </c>
      <c r="G205" s="149" t="s">
        <v>143</v>
      </c>
      <c r="H205" s="151" t="str">
        <f t="shared" si="16"/>
        <v>1992/01/26</v>
      </c>
      <c r="I205" s="149" t="s">
        <v>275</v>
      </c>
      <c r="J205" s="149" t="s">
        <v>3714</v>
      </c>
      <c r="K205" s="101" t="str">
        <f t="shared" si="17"/>
        <v>92</v>
      </c>
      <c r="L205" s="101" t="str">
        <f t="shared" si="18"/>
        <v>01</v>
      </c>
      <c r="M205" s="101" t="str">
        <f t="shared" si="19"/>
        <v>26</v>
      </c>
    </row>
    <row r="206" spans="1:13">
      <c r="A206" t="str">
        <f t="shared" si="15"/>
        <v>広島大学2205男</v>
      </c>
      <c r="B206" s="149" t="s">
        <v>1364</v>
      </c>
      <c r="C206" s="149">
        <v>2205</v>
      </c>
      <c r="D206" s="149" t="s">
        <v>1369</v>
      </c>
      <c r="E206" s="149" t="s">
        <v>1370</v>
      </c>
      <c r="F206" s="149" t="s">
        <v>262</v>
      </c>
      <c r="G206" s="149" t="s">
        <v>143</v>
      </c>
      <c r="H206" s="151" t="str">
        <f t="shared" si="16"/>
        <v>1991/10/05</v>
      </c>
      <c r="I206" s="149" t="s">
        <v>301</v>
      </c>
      <c r="J206" s="149" t="s">
        <v>654</v>
      </c>
      <c r="K206" s="101" t="str">
        <f t="shared" si="17"/>
        <v>91</v>
      </c>
      <c r="L206" s="101" t="str">
        <f t="shared" si="18"/>
        <v>10</v>
      </c>
      <c r="M206" s="101" t="str">
        <f t="shared" si="19"/>
        <v>05</v>
      </c>
    </row>
    <row r="207" spans="1:13">
      <c r="A207" t="str">
        <f t="shared" si="15"/>
        <v>広島大学2206男</v>
      </c>
      <c r="B207" s="149" t="s">
        <v>1364</v>
      </c>
      <c r="C207" s="149">
        <v>2206</v>
      </c>
      <c r="D207" s="149" t="s">
        <v>1371</v>
      </c>
      <c r="E207" s="149" t="s">
        <v>1372</v>
      </c>
      <c r="F207" s="149" t="s">
        <v>262</v>
      </c>
      <c r="G207" s="149" t="s">
        <v>143</v>
      </c>
      <c r="H207" s="151" t="str">
        <f t="shared" si="16"/>
        <v>1991/08/07</v>
      </c>
      <c r="I207" s="149" t="s">
        <v>277</v>
      </c>
      <c r="J207" s="149" t="s">
        <v>3715</v>
      </c>
      <c r="K207" s="101" t="str">
        <f t="shared" si="17"/>
        <v>91</v>
      </c>
      <c r="L207" s="101" t="str">
        <f t="shared" si="18"/>
        <v>08</v>
      </c>
      <c r="M207" s="101" t="str">
        <f t="shared" si="19"/>
        <v>07</v>
      </c>
    </row>
    <row r="208" spans="1:13">
      <c r="A208" t="str">
        <f t="shared" si="15"/>
        <v>広島大学2207男</v>
      </c>
      <c r="B208" s="149" t="s">
        <v>1364</v>
      </c>
      <c r="C208" s="149">
        <v>2207</v>
      </c>
      <c r="D208" s="149" t="s">
        <v>1373</v>
      </c>
      <c r="E208" s="149" t="s">
        <v>1374</v>
      </c>
      <c r="F208" s="149" t="s">
        <v>262</v>
      </c>
      <c r="G208" s="149" t="s">
        <v>143</v>
      </c>
      <c r="H208" s="151" t="str">
        <f t="shared" si="16"/>
        <v>1986/04/05</v>
      </c>
      <c r="I208" s="149" t="s">
        <v>295</v>
      </c>
      <c r="J208" s="149" t="s">
        <v>3716</v>
      </c>
      <c r="K208" s="101" t="str">
        <f t="shared" si="17"/>
        <v>86</v>
      </c>
      <c r="L208" s="101" t="str">
        <f t="shared" si="18"/>
        <v>04</v>
      </c>
      <c r="M208" s="101" t="str">
        <f t="shared" si="19"/>
        <v>05</v>
      </c>
    </row>
    <row r="209" spans="1:13">
      <c r="A209" t="str">
        <f t="shared" si="15"/>
        <v>広島大学2208男</v>
      </c>
      <c r="B209" s="149" t="s">
        <v>1364</v>
      </c>
      <c r="C209" s="149">
        <v>2208</v>
      </c>
      <c r="D209" s="149" t="s">
        <v>1375</v>
      </c>
      <c r="E209" s="149" t="s">
        <v>1376</v>
      </c>
      <c r="F209" s="149" t="s">
        <v>264</v>
      </c>
      <c r="G209" s="149" t="s">
        <v>143</v>
      </c>
      <c r="H209" s="151" t="str">
        <f t="shared" si="16"/>
        <v>1991/12/18</v>
      </c>
      <c r="I209" s="149" t="s">
        <v>295</v>
      </c>
      <c r="J209" s="149" t="s">
        <v>3717</v>
      </c>
      <c r="K209" s="101" t="str">
        <f t="shared" si="17"/>
        <v>91</v>
      </c>
      <c r="L209" s="101" t="str">
        <f t="shared" si="18"/>
        <v>12</v>
      </c>
      <c r="M209" s="101" t="str">
        <f t="shared" si="19"/>
        <v>18</v>
      </c>
    </row>
    <row r="210" spans="1:13">
      <c r="A210" t="str">
        <f t="shared" si="15"/>
        <v>広島大学2209男</v>
      </c>
      <c r="B210" s="149" t="s">
        <v>1364</v>
      </c>
      <c r="C210" s="149">
        <v>2209</v>
      </c>
      <c r="D210" s="149" t="s">
        <v>1377</v>
      </c>
      <c r="E210" s="149" t="s">
        <v>1378</v>
      </c>
      <c r="F210" s="149" t="s">
        <v>264</v>
      </c>
      <c r="G210" s="149" t="s">
        <v>143</v>
      </c>
      <c r="H210" s="151" t="str">
        <f t="shared" si="16"/>
        <v>1992/05/15</v>
      </c>
      <c r="I210" s="149" t="s">
        <v>299</v>
      </c>
      <c r="J210" s="149" t="s">
        <v>3718</v>
      </c>
      <c r="K210" s="101" t="str">
        <f t="shared" si="17"/>
        <v>92</v>
      </c>
      <c r="L210" s="101" t="str">
        <f t="shared" si="18"/>
        <v>05</v>
      </c>
      <c r="M210" s="101" t="str">
        <f t="shared" si="19"/>
        <v>15</v>
      </c>
    </row>
    <row r="211" spans="1:13">
      <c r="A211" t="str">
        <f t="shared" si="15"/>
        <v>広島大学2210男</v>
      </c>
      <c r="B211" s="149" t="s">
        <v>1364</v>
      </c>
      <c r="C211" s="149">
        <v>2210</v>
      </c>
      <c r="D211" s="149" t="s">
        <v>1379</v>
      </c>
      <c r="E211" s="149" t="s">
        <v>1380</v>
      </c>
      <c r="F211" s="149" t="s">
        <v>264</v>
      </c>
      <c r="G211" s="149" t="s">
        <v>143</v>
      </c>
      <c r="H211" s="151" t="str">
        <f t="shared" si="16"/>
        <v>1992/06/08</v>
      </c>
      <c r="I211" s="149" t="s">
        <v>295</v>
      </c>
      <c r="J211" s="149" t="s">
        <v>3719</v>
      </c>
      <c r="K211" s="101" t="str">
        <f t="shared" si="17"/>
        <v>92</v>
      </c>
      <c r="L211" s="101" t="str">
        <f t="shared" si="18"/>
        <v>06</v>
      </c>
      <c r="M211" s="101" t="str">
        <f t="shared" si="19"/>
        <v>08</v>
      </c>
    </row>
    <row r="212" spans="1:13">
      <c r="A212" t="str">
        <f t="shared" si="15"/>
        <v>広島大学2211男</v>
      </c>
      <c r="B212" s="149" t="s">
        <v>1364</v>
      </c>
      <c r="C212" s="149">
        <v>2211</v>
      </c>
      <c r="D212" s="149" t="s">
        <v>1381</v>
      </c>
      <c r="E212" s="149" t="s">
        <v>1382</v>
      </c>
      <c r="F212" s="149" t="s">
        <v>264</v>
      </c>
      <c r="G212" s="149" t="s">
        <v>143</v>
      </c>
      <c r="H212" s="151" t="str">
        <f t="shared" si="16"/>
        <v>1992/08/02</v>
      </c>
      <c r="I212" s="149" t="s">
        <v>295</v>
      </c>
      <c r="J212" s="149" t="s">
        <v>3720</v>
      </c>
      <c r="K212" s="101" t="str">
        <f t="shared" si="17"/>
        <v>92</v>
      </c>
      <c r="L212" s="101" t="str">
        <f t="shared" si="18"/>
        <v>08</v>
      </c>
      <c r="M212" s="101" t="str">
        <f t="shared" si="19"/>
        <v>02</v>
      </c>
    </row>
    <row r="213" spans="1:13">
      <c r="A213" t="str">
        <f t="shared" si="15"/>
        <v>広島大学2212男</v>
      </c>
      <c r="B213" s="149" t="s">
        <v>1364</v>
      </c>
      <c r="C213" s="149">
        <v>2212</v>
      </c>
      <c r="D213" s="149" t="s">
        <v>1383</v>
      </c>
      <c r="E213" s="149" t="s">
        <v>1384</v>
      </c>
      <c r="F213" s="149" t="s">
        <v>264</v>
      </c>
      <c r="G213" s="149" t="s">
        <v>143</v>
      </c>
      <c r="H213" s="151" t="str">
        <f t="shared" si="16"/>
        <v>1991/05/16</v>
      </c>
      <c r="I213" s="149" t="s">
        <v>295</v>
      </c>
      <c r="J213" s="149" t="s">
        <v>3721</v>
      </c>
      <c r="K213" s="101" t="str">
        <f t="shared" si="17"/>
        <v>91</v>
      </c>
      <c r="L213" s="101" t="str">
        <f t="shared" si="18"/>
        <v>05</v>
      </c>
      <c r="M213" s="101" t="str">
        <f t="shared" si="19"/>
        <v>16</v>
      </c>
    </row>
    <row r="214" spans="1:13">
      <c r="A214" t="str">
        <f t="shared" si="15"/>
        <v>広島大学2213男</v>
      </c>
      <c r="B214" s="149" t="s">
        <v>1364</v>
      </c>
      <c r="C214" s="149">
        <v>2213</v>
      </c>
      <c r="D214" s="149" t="s">
        <v>1385</v>
      </c>
      <c r="E214" s="149" t="s">
        <v>1386</v>
      </c>
      <c r="F214" s="149" t="s">
        <v>293</v>
      </c>
      <c r="G214" s="149" t="s">
        <v>143</v>
      </c>
      <c r="H214" s="151" t="str">
        <f t="shared" si="16"/>
        <v>1992/09/11</v>
      </c>
      <c r="I214" s="149" t="s">
        <v>295</v>
      </c>
      <c r="J214" s="149" t="s">
        <v>3722</v>
      </c>
      <c r="K214" s="101" t="str">
        <f t="shared" si="17"/>
        <v>92</v>
      </c>
      <c r="L214" s="101" t="str">
        <f t="shared" si="18"/>
        <v>09</v>
      </c>
      <c r="M214" s="101" t="str">
        <f t="shared" si="19"/>
        <v>11</v>
      </c>
    </row>
    <row r="215" spans="1:13">
      <c r="A215" t="str">
        <f t="shared" si="15"/>
        <v>広島大学2214男</v>
      </c>
      <c r="B215" s="149" t="s">
        <v>1364</v>
      </c>
      <c r="C215" s="149">
        <v>2214</v>
      </c>
      <c r="D215" s="149" t="s">
        <v>1387</v>
      </c>
      <c r="E215" s="149" t="s">
        <v>1388</v>
      </c>
      <c r="F215" s="149" t="s">
        <v>260</v>
      </c>
      <c r="G215" s="149" t="s">
        <v>143</v>
      </c>
      <c r="H215" s="151" t="str">
        <f t="shared" si="16"/>
        <v>1993/06/16</v>
      </c>
      <c r="I215" s="149" t="s">
        <v>295</v>
      </c>
      <c r="J215" s="149" t="s">
        <v>554</v>
      </c>
      <c r="K215" s="101" t="str">
        <f t="shared" si="17"/>
        <v>93</v>
      </c>
      <c r="L215" s="101" t="str">
        <f t="shared" si="18"/>
        <v>06</v>
      </c>
      <c r="M215" s="101" t="str">
        <f t="shared" si="19"/>
        <v>16</v>
      </c>
    </row>
    <row r="216" spans="1:13">
      <c r="A216" t="str">
        <f t="shared" si="15"/>
        <v>広島大学2215男</v>
      </c>
      <c r="B216" s="149" t="s">
        <v>1364</v>
      </c>
      <c r="C216" s="149">
        <v>2215</v>
      </c>
      <c r="D216" s="149" t="s">
        <v>1389</v>
      </c>
      <c r="E216" s="149" t="s">
        <v>1390</v>
      </c>
      <c r="F216" s="149" t="s">
        <v>260</v>
      </c>
      <c r="G216" s="149" t="s">
        <v>143</v>
      </c>
      <c r="H216" s="151" t="str">
        <f t="shared" si="16"/>
        <v>1992/06/26</v>
      </c>
      <c r="I216" s="149" t="s">
        <v>295</v>
      </c>
      <c r="J216" s="149" t="s">
        <v>3723</v>
      </c>
      <c r="K216" s="101" t="str">
        <f t="shared" si="17"/>
        <v>92</v>
      </c>
      <c r="L216" s="101" t="str">
        <f t="shared" si="18"/>
        <v>06</v>
      </c>
      <c r="M216" s="101" t="str">
        <f t="shared" si="19"/>
        <v>26</v>
      </c>
    </row>
    <row r="217" spans="1:13">
      <c r="A217" t="str">
        <f t="shared" si="15"/>
        <v>広島大学2216男</v>
      </c>
      <c r="B217" s="149" t="s">
        <v>1364</v>
      </c>
      <c r="C217" s="149">
        <v>2216</v>
      </c>
      <c r="D217" s="149" t="s">
        <v>1391</v>
      </c>
      <c r="E217" s="149" t="s">
        <v>1392</v>
      </c>
      <c r="F217" s="149" t="s">
        <v>260</v>
      </c>
      <c r="G217" s="149" t="s">
        <v>143</v>
      </c>
      <c r="H217" s="151" t="str">
        <f t="shared" si="16"/>
        <v>1993/09/03</v>
      </c>
      <c r="I217" s="149" t="s">
        <v>295</v>
      </c>
      <c r="J217" s="149" t="s">
        <v>3724</v>
      </c>
      <c r="K217" s="101" t="str">
        <f t="shared" si="17"/>
        <v>93</v>
      </c>
      <c r="L217" s="101" t="str">
        <f t="shared" si="18"/>
        <v>09</v>
      </c>
      <c r="M217" s="101" t="str">
        <f t="shared" si="19"/>
        <v>03</v>
      </c>
    </row>
    <row r="218" spans="1:13">
      <c r="A218" t="str">
        <f t="shared" si="15"/>
        <v>広島大学2217男</v>
      </c>
      <c r="B218" s="149" t="s">
        <v>1364</v>
      </c>
      <c r="C218" s="149">
        <v>2217</v>
      </c>
      <c r="D218" s="149" t="s">
        <v>1393</v>
      </c>
      <c r="E218" s="149" t="s">
        <v>1394</v>
      </c>
      <c r="F218" s="149" t="s">
        <v>260</v>
      </c>
      <c r="G218" s="149" t="s">
        <v>143</v>
      </c>
      <c r="H218" s="151" t="str">
        <f t="shared" si="16"/>
        <v>1994/01/17</v>
      </c>
      <c r="I218" s="149" t="s">
        <v>303</v>
      </c>
      <c r="J218" s="149" t="s">
        <v>887</v>
      </c>
      <c r="K218" s="101" t="str">
        <f t="shared" si="17"/>
        <v>94</v>
      </c>
      <c r="L218" s="101" t="str">
        <f t="shared" si="18"/>
        <v>01</v>
      </c>
      <c r="M218" s="101" t="str">
        <f t="shared" si="19"/>
        <v>17</v>
      </c>
    </row>
    <row r="219" spans="1:13">
      <c r="A219" t="str">
        <f t="shared" si="15"/>
        <v>広島大学2218男</v>
      </c>
      <c r="B219" s="149" t="s">
        <v>1364</v>
      </c>
      <c r="C219" s="149">
        <v>2218</v>
      </c>
      <c r="D219" s="149" t="s">
        <v>1395</v>
      </c>
      <c r="E219" s="149" t="s">
        <v>1396</v>
      </c>
      <c r="F219" s="149" t="s">
        <v>260</v>
      </c>
      <c r="G219" s="149" t="s">
        <v>143</v>
      </c>
      <c r="H219" s="151" t="str">
        <f t="shared" si="16"/>
        <v>1993/10/11</v>
      </c>
      <c r="I219" s="149" t="s">
        <v>295</v>
      </c>
      <c r="J219" s="149" t="s">
        <v>458</v>
      </c>
      <c r="K219" s="101" t="str">
        <f t="shared" si="17"/>
        <v>93</v>
      </c>
      <c r="L219" s="101" t="str">
        <f t="shared" si="18"/>
        <v>10</v>
      </c>
      <c r="M219" s="101" t="str">
        <f t="shared" si="19"/>
        <v>11</v>
      </c>
    </row>
    <row r="220" spans="1:13">
      <c r="A220" t="str">
        <f t="shared" si="15"/>
        <v>広島大学2219男</v>
      </c>
      <c r="B220" s="149" t="s">
        <v>1364</v>
      </c>
      <c r="C220" s="149">
        <v>2219</v>
      </c>
      <c r="D220" s="149" t="s">
        <v>1397</v>
      </c>
      <c r="E220" s="149" t="s">
        <v>1398</v>
      </c>
      <c r="F220" s="149" t="s">
        <v>260</v>
      </c>
      <c r="G220" s="149" t="s">
        <v>143</v>
      </c>
      <c r="H220" s="151" t="str">
        <f t="shared" si="16"/>
        <v>1994/01/15</v>
      </c>
      <c r="I220" s="149" t="s">
        <v>275</v>
      </c>
      <c r="J220" s="149" t="s">
        <v>3725</v>
      </c>
      <c r="K220" s="101" t="str">
        <f t="shared" si="17"/>
        <v>94</v>
      </c>
      <c r="L220" s="101" t="str">
        <f t="shared" si="18"/>
        <v>01</v>
      </c>
      <c r="M220" s="101" t="str">
        <f t="shared" si="19"/>
        <v>15</v>
      </c>
    </row>
    <row r="221" spans="1:13">
      <c r="A221" t="str">
        <f t="shared" si="15"/>
        <v>広島大学2220男</v>
      </c>
      <c r="B221" s="149" t="s">
        <v>1364</v>
      </c>
      <c r="C221" s="149">
        <v>2220</v>
      </c>
      <c r="D221" s="149" t="s">
        <v>1399</v>
      </c>
      <c r="E221" s="149" t="s">
        <v>1400</v>
      </c>
      <c r="F221" s="149" t="s">
        <v>260</v>
      </c>
      <c r="G221" s="149" t="s">
        <v>143</v>
      </c>
      <c r="H221" s="151" t="str">
        <f t="shared" si="16"/>
        <v>1993/10/06</v>
      </c>
      <c r="I221" s="149" t="s">
        <v>281</v>
      </c>
      <c r="J221" s="149" t="s">
        <v>3726</v>
      </c>
      <c r="K221" s="101" t="str">
        <f t="shared" si="17"/>
        <v>93</v>
      </c>
      <c r="L221" s="101" t="str">
        <f t="shared" si="18"/>
        <v>10</v>
      </c>
      <c r="M221" s="101" t="str">
        <f t="shared" si="19"/>
        <v>06</v>
      </c>
    </row>
    <row r="222" spans="1:13">
      <c r="A222" t="str">
        <f t="shared" si="15"/>
        <v>広島大学2221男</v>
      </c>
      <c r="B222" s="149" t="s">
        <v>1364</v>
      </c>
      <c r="C222" s="149">
        <v>2221</v>
      </c>
      <c r="D222" s="149" t="s">
        <v>1401</v>
      </c>
      <c r="E222" s="149" t="s">
        <v>1402</v>
      </c>
      <c r="F222" s="149" t="s">
        <v>260</v>
      </c>
      <c r="G222" s="149" t="s">
        <v>143</v>
      </c>
      <c r="H222" s="151" t="str">
        <f t="shared" si="16"/>
        <v>1993/09/05</v>
      </c>
      <c r="I222" s="149" t="s">
        <v>295</v>
      </c>
      <c r="J222" s="149" t="s">
        <v>672</v>
      </c>
      <c r="K222" s="101" t="str">
        <f t="shared" si="17"/>
        <v>93</v>
      </c>
      <c r="L222" s="101" t="str">
        <f t="shared" si="18"/>
        <v>09</v>
      </c>
      <c r="M222" s="101" t="str">
        <f t="shared" si="19"/>
        <v>05</v>
      </c>
    </row>
    <row r="223" spans="1:13">
      <c r="A223" t="str">
        <f t="shared" si="15"/>
        <v>広島大学2222男</v>
      </c>
      <c r="B223" s="149" t="s">
        <v>1364</v>
      </c>
      <c r="C223" s="149">
        <v>2222</v>
      </c>
      <c r="D223" s="149" t="s">
        <v>1403</v>
      </c>
      <c r="E223" s="149" t="s">
        <v>1404</v>
      </c>
      <c r="F223" s="149" t="s">
        <v>260</v>
      </c>
      <c r="G223" s="149" t="s">
        <v>143</v>
      </c>
      <c r="H223" s="151" t="str">
        <f t="shared" si="16"/>
        <v>1994/02/05</v>
      </c>
      <c r="I223" s="149" t="s">
        <v>269</v>
      </c>
      <c r="J223" s="149" t="s">
        <v>3727</v>
      </c>
      <c r="K223" s="101" t="str">
        <f t="shared" si="17"/>
        <v>94</v>
      </c>
      <c r="L223" s="101" t="str">
        <f t="shared" si="18"/>
        <v>02</v>
      </c>
      <c r="M223" s="101" t="str">
        <f t="shared" si="19"/>
        <v>05</v>
      </c>
    </row>
    <row r="224" spans="1:13">
      <c r="A224" t="str">
        <f t="shared" si="15"/>
        <v>広島大学2223男</v>
      </c>
      <c r="B224" s="149" t="s">
        <v>1364</v>
      </c>
      <c r="C224" s="149">
        <v>2223</v>
      </c>
      <c r="D224" s="149" t="s">
        <v>1405</v>
      </c>
      <c r="E224" s="149" t="s">
        <v>1406</v>
      </c>
      <c r="F224" s="149" t="s">
        <v>260</v>
      </c>
      <c r="G224" s="149" t="s">
        <v>143</v>
      </c>
      <c r="H224" s="151" t="str">
        <f t="shared" si="16"/>
        <v>1993/08/28</v>
      </c>
      <c r="I224" s="149" t="s">
        <v>299</v>
      </c>
      <c r="J224" s="149" t="s">
        <v>572</v>
      </c>
      <c r="K224" s="101" t="str">
        <f t="shared" si="17"/>
        <v>93</v>
      </c>
      <c r="L224" s="101" t="str">
        <f t="shared" si="18"/>
        <v>08</v>
      </c>
      <c r="M224" s="101" t="str">
        <f t="shared" si="19"/>
        <v>28</v>
      </c>
    </row>
    <row r="225" spans="1:13">
      <c r="A225" t="str">
        <f t="shared" si="15"/>
        <v>広島大学2224男</v>
      </c>
      <c r="B225" s="149" t="s">
        <v>1364</v>
      </c>
      <c r="C225" s="149">
        <v>2224</v>
      </c>
      <c r="D225" s="149" t="s">
        <v>1407</v>
      </c>
      <c r="E225" s="149" t="s">
        <v>1408</v>
      </c>
      <c r="F225" s="149" t="s">
        <v>260</v>
      </c>
      <c r="G225" s="149" t="s">
        <v>143</v>
      </c>
      <c r="H225" s="151" t="str">
        <f t="shared" si="16"/>
        <v>1993/11/09</v>
      </c>
      <c r="I225" s="149" t="s">
        <v>273</v>
      </c>
      <c r="J225" s="149" t="s">
        <v>3728</v>
      </c>
      <c r="K225" s="101" t="str">
        <f t="shared" si="17"/>
        <v>93</v>
      </c>
      <c r="L225" s="101" t="str">
        <f t="shared" si="18"/>
        <v>11</v>
      </c>
      <c r="M225" s="101" t="str">
        <f t="shared" si="19"/>
        <v>09</v>
      </c>
    </row>
    <row r="226" spans="1:13">
      <c r="A226" t="str">
        <f t="shared" si="15"/>
        <v>広島大学2225男</v>
      </c>
      <c r="B226" s="149" t="s">
        <v>1364</v>
      </c>
      <c r="C226" s="149">
        <v>2225</v>
      </c>
      <c r="D226" s="149" t="s">
        <v>1409</v>
      </c>
      <c r="E226" s="149" t="s">
        <v>1410</v>
      </c>
      <c r="F226" s="149" t="s">
        <v>260</v>
      </c>
      <c r="G226" s="149" t="s">
        <v>143</v>
      </c>
      <c r="H226" s="151" t="str">
        <f t="shared" si="16"/>
        <v>1993/11/19</v>
      </c>
      <c r="I226" s="149" t="s">
        <v>299</v>
      </c>
      <c r="J226" s="149" t="s">
        <v>397</v>
      </c>
      <c r="K226" s="101" t="str">
        <f t="shared" si="17"/>
        <v>93</v>
      </c>
      <c r="L226" s="101" t="str">
        <f t="shared" si="18"/>
        <v>11</v>
      </c>
      <c r="M226" s="101" t="str">
        <f t="shared" si="19"/>
        <v>19</v>
      </c>
    </row>
    <row r="227" spans="1:13">
      <c r="A227" t="str">
        <f t="shared" si="15"/>
        <v>広島大学2226男</v>
      </c>
      <c r="B227" s="149" t="s">
        <v>1364</v>
      </c>
      <c r="C227" s="149">
        <v>2226</v>
      </c>
      <c r="D227" s="149" t="s">
        <v>1411</v>
      </c>
      <c r="E227" s="149" t="s">
        <v>1412</v>
      </c>
      <c r="F227" s="149" t="s">
        <v>260</v>
      </c>
      <c r="G227" s="149" t="s">
        <v>143</v>
      </c>
      <c r="H227" s="151" t="str">
        <f t="shared" si="16"/>
        <v>1993/10/02</v>
      </c>
      <c r="I227" s="149" t="s">
        <v>295</v>
      </c>
      <c r="J227" s="149" t="s">
        <v>831</v>
      </c>
      <c r="K227" s="101" t="str">
        <f t="shared" si="17"/>
        <v>93</v>
      </c>
      <c r="L227" s="101" t="str">
        <f t="shared" si="18"/>
        <v>10</v>
      </c>
      <c r="M227" s="101" t="str">
        <f t="shared" si="19"/>
        <v>02</v>
      </c>
    </row>
    <row r="228" spans="1:13">
      <c r="A228" t="str">
        <f t="shared" si="15"/>
        <v>広島大学2227男</v>
      </c>
      <c r="B228" s="149" t="s">
        <v>1364</v>
      </c>
      <c r="C228" s="149">
        <v>2227</v>
      </c>
      <c r="D228" s="149" t="s">
        <v>1413</v>
      </c>
      <c r="E228" s="149" t="s">
        <v>1414</v>
      </c>
      <c r="F228" s="149" t="s">
        <v>260</v>
      </c>
      <c r="G228" s="149" t="s">
        <v>143</v>
      </c>
      <c r="H228" s="151" t="str">
        <f t="shared" si="16"/>
        <v>1993/12/09</v>
      </c>
      <c r="I228" s="149" t="s">
        <v>277</v>
      </c>
      <c r="J228" s="149" t="s">
        <v>885</v>
      </c>
      <c r="K228" s="101" t="str">
        <f t="shared" si="17"/>
        <v>93</v>
      </c>
      <c r="L228" s="101" t="str">
        <f t="shared" si="18"/>
        <v>12</v>
      </c>
      <c r="M228" s="101" t="str">
        <f t="shared" si="19"/>
        <v>09</v>
      </c>
    </row>
    <row r="229" spans="1:13">
      <c r="A229" t="str">
        <f t="shared" si="15"/>
        <v>広島大学2228男</v>
      </c>
      <c r="B229" s="149" t="s">
        <v>1364</v>
      </c>
      <c r="C229" s="149">
        <v>2228</v>
      </c>
      <c r="D229" s="149" t="s">
        <v>1415</v>
      </c>
      <c r="E229" s="149" t="s">
        <v>1416</v>
      </c>
      <c r="F229" s="149" t="s">
        <v>260</v>
      </c>
      <c r="G229" s="149" t="s">
        <v>143</v>
      </c>
      <c r="H229" s="151" t="str">
        <f t="shared" si="16"/>
        <v>1993/11/12</v>
      </c>
      <c r="I229" s="149" t="s">
        <v>305</v>
      </c>
      <c r="J229" s="149" t="s">
        <v>3729</v>
      </c>
      <c r="K229" s="101" t="str">
        <f t="shared" si="17"/>
        <v>93</v>
      </c>
      <c r="L229" s="101" t="str">
        <f t="shared" si="18"/>
        <v>11</v>
      </c>
      <c r="M229" s="101" t="str">
        <f t="shared" si="19"/>
        <v>12</v>
      </c>
    </row>
    <row r="230" spans="1:13">
      <c r="A230" t="str">
        <f t="shared" si="15"/>
        <v>広島大学2229男</v>
      </c>
      <c r="B230" s="149" t="s">
        <v>1364</v>
      </c>
      <c r="C230" s="149">
        <v>2229</v>
      </c>
      <c r="D230" s="149" t="s">
        <v>1417</v>
      </c>
      <c r="E230" s="149" t="s">
        <v>1418</v>
      </c>
      <c r="F230" s="149" t="s">
        <v>260</v>
      </c>
      <c r="G230" s="149" t="s">
        <v>143</v>
      </c>
      <c r="H230" s="151" t="str">
        <f t="shared" si="16"/>
        <v>1993/06/08</v>
      </c>
      <c r="I230" s="149" t="s">
        <v>301</v>
      </c>
      <c r="J230" s="149" t="s">
        <v>3730</v>
      </c>
      <c r="K230" s="101" t="str">
        <f t="shared" si="17"/>
        <v>93</v>
      </c>
      <c r="L230" s="101" t="str">
        <f t="shared" si="18"/>
        <v>06</v>
      </c>
      <c r="M230" s="101" t="str">
        <f t="shared" si="19"/>
        <v>08</v>
      </c>
    </row>
    <row r="231" spans="1:13">
      <c r="A231" t="str">
        <f t="shared" si="15"/>
        <v>広島大学2230男</v>
      </c>
      <c r="B231" s="149" t="s">
        <v>1364</v>
      </c>
      <c r="C231" s="149">
        <v>2230</v>
      </c>
      <c r="D231" s="149" t="s">
        <v>1419</v>
      </c>
      <c r="E231" s="149" t="s">
        <v>1420</v>
      </c>
      <c r="F231" s="149" t="s">
        <v>260</v>
      </c>
      <c r="G231" s="149" t="s">
        <v>143</v>
      </c>
      <c r="H231" s="151" t="str">
        <f t="shared" si="16"/>
        <v>1993/10/14</v>
      </c>
      <c r="I231" s="149" t="s">
        <v>275</v>
      </c>
      <c r="J231" s="149" t="s">
        <v>514</v>
      </c>
      <c r="K231" s="101" t="str">
        <f t="shared" si="17"/>
        <v>93</v>
      </c>
      <c r="L231" s="101" t="str">
        <f t="shared" si="18"/>
        <v>10</v>
      </c>
      <c r="M231" s="101" t="str">
        <f t="shared" si="19"/>
        <v>14</v>
      </c>
    </row>
    <row r="232" spans="1:13">
      <c r="A232" t="str">
        <f t="shared" si="15"/>
        <v>広島大学2231男</v>
      </c>
      <c r="B232" s="149" t="s">
        <v>1364</v>
      </c>
      <c r="C232" s="149">
        <v>2231</v>
      </c>
      <c r="D232" s="149" t="s">
        <v>1421</v>
      </c>
      <c r="E232" s="149" t="s">
        <v>1422</v>
      </c>
      <c r="F232" s="149" t="s">
        <v>260</v>
      </c>
      <c r="G232" s="149" t="s">
        <v>143</v>
      </c>
      <c r="H232" s="151" t="str">
        <f t="shared" si="16"/>
        <v>1993/08/31</v>
      </c>
      <c r="I232" s="149" t="s">
        <v>281</v>
      </c>
      <c r="J232" s="149" t="s">
        <v>564</v>
      </c>
      <c r="K232" s="101" t="str">
        <f t="shared" si="17"/>
        <v>93</v>
      </c>
      <c r="L232" s="101" t="str">
        <f t="shared" si="18"/>
        <v>08</v>
      </c>
      <c r="M232" s="101" t="str">
        <f t="shared" si="19"/>
        <v>31</v>
      </c>
    </row>
    <row r="233" spans="1:13">
      <c r="A233" t="str">
        <f t="shared" si="15"/>
        <v>広島大学2232男</v>
      </c>
      <c r="B233" s="149" t="s">
        <v>1364</v>
      </c>
      <c r="C233" s="149">
        <v>2232</v>
      </c>
      <c r="D233" s="149" t="s">
        <v>1423</v>
      </c>
      <c r="E233" s="149" t="s">
        <v>1424</v>
      </c>
      <c r="F233" s="149" t="s">
        <v>265</v>
      </c>
      <c r="G233" s="149" t="s">
        <v>143</v>
      </c>
      <c r="H233" s="151" t="str">
        <f t="shared" si="16"/>
        <v>1994/08/24</v>
      </c>
      <c r="I233" s="149" t="s">
        <v>269</v>
      </c>
      <c r="J233" s="149" t="s">
        <v>3731</v>
      </c>
      <c r="K233" s="101" t="str">
        <f t="shared" si="17"/>
        <v>94</v>
      </c>
      <c r="L233" s="101" t="str">
        <f t="shared" si="18"/>
        <v>08</v>
      </c>
      <c r="M233" s="101" t="str">
        <f t="shared" si="19"/>
        <v>24</v>
      </c>
    </row>
    <row r="234" spans="1:13">
      <c r="A234" t="str">
        <f t="shared" si="15"/>
        <v>広島大学2233男</v>
      </c>
      <c r="B234" s="149" t="s">
        <v>1364</v>
      </c>
      <c r="C234" s="149">
        <v>2233</v>
      </c>
      <c r="D234" s="149" t="s">
        <v>1425</v>
      </c>
      <c r="E234" s="149" t="s">
        <v>1426</v>
      </c>
      <c r="F234" s="149" t="s">
        <v>265</v>
      </c>
      <c r="G234" s="149" t="s">
        <v>143</v>
      </c>
      <c r="H234" s="151" t="str">
        <f t="shared" si="16"/>
        <v>1993/11/25</v>
      </c>
      <c r="I234" s="149" t="s">
        <v>286</v>
      </c>
      <c r="J234" s="149" t="s">
        <v>562</v>
      </c>
      <c r="K234" s="101" t="str">
        <f t="shared" si="17"/>
        <v>93</v>
      </c>
      <c r="L234" s="101" t="str">
        <f t="shared" si="18"/>
        <v>11</v>
      </c>
      <c r="M234" s="101" t="str">
        <f t="shared" si="19"/>
        <v>25</v>
      </c>
    </row>
    <row r="235" spans="1:13">
      <c r="A235" t="str">
        <f t="shared" si="15"/>
        <v>広島大学2234男</v>
      </c>
      <c r="B235" s="149" t="s">
        <v>1364</v>
      </c>
      <c r="C235" s="149">
        <v>2234</v>
      </c>
      <c r="D235" s="149" t="s">
        <v>1427</v>
      </c>
      <c r="E235" s="149" t="s">
        <v>1428</v>
      </c>
      <c r="F235" s="149" t="s">
        <v>265</v>
      </c>
      <c r="G235" s="149" t="s">
        <v>143</v>
      </c>
      <c r="H235" s="151" t="str">
        <f t="shared" si="16"/>
        <v>1995/03/21</v>
      </c>
      <c r="I235" s="149" t="s">
        <v>299</v>
      </c>
      <c r="J235" s="149" t="s">
        <v>657</v>
      </c>
      <c r="K235" s="101" t="str">
        <f t="shared" si="17"/>
        <v>95</v>
      </c>
      <c r="L235" s="101" t="str">
        <f t="shared" si="18"/>
        <v>03</v>
      </c>
      <c r="M235" s="101" t="str">
        <f t="shared" si="19"/>
        <v>21</v>
      </c>
    </row>
    <row r="236" spans="1:13">
      <c r="A236" t="str">
        <f t="shared" si="15"/>
        <v>広島大学2235男</v>
      </c>
      <c r="B236" s="149" t="s">
        <v>1364</v>
      </c>
      <c r="C236" s="149">
        <v>2235</v>
      </c>
      <c r="D236" s="149" t="s">
        <v>1429</v>
      </c>
      <c r="E236" s="149" t="s">
        <v>1430</v>
      </c>
      <c r="F236" s="149" t="s">
        <v>265</v>
      </c>
      <c r="G236" s="149" t="s">
        <v>143</v>
      </c>
      <c r="H236" s="151" t="str">
        <f t="shared" si="16"/>
        <v>1994/04/15</v>
      </c>
      <c r="I236" s="149" t="s">
        <v>275</v>
      </c>
      <c r="J236" s="149" t="s">
        <v>877</v>
      </c>
      <c r="K236" s="101" t="str">
        <f t="shared" si="17"/>
        <v>94</v>
      </c>
      <c r="L236" s="101" t="str">
        <f t="shared" si="18"/>
        <v>04</v>
      </c>
      <c r="M236" s="101" t="str">
        <f t="shared" si="19"/>
        <v>15</v>
      </c>
    </row>
    <row r="237" spans="1:13">
      <c r="A237" t="str">
        <f t="shared" si="15"/>
        <v>広島大学2236男</v>
      </c>
      <c r="B237" s="149" t="s">
        <v>1364</v>
      </c>
      <c r="C237" s="149">
        <v>2236</v>
      </c>
      <c r="D237" s="149" t="s">
        <v>1431</v>
      </c>
      <c r="E237" s="149" t="s">
        <v>1432</v>
      </c>
      <c r="F237" s="149" t="s">
        <v>265</v>
      </c>
      <c r="G237" s="149" t="s">
        <v>143</v>
      </c>
      <c r="H237" s="151" t="str">
        <f t="shared" si="16"/>
        <v>1994/07/16</v>
      </c>
      <c r="I237" s="149" t="s">
        <v>295</v>
      </c>
      <c r="J237" s="149" t="s">
        <v>3732</v>
      </c>
      <c r="K237" s="101" t="str">
        <f t="shared" si="17"/>
        <v>94</v>
      </c>
      <c r="L237" s="101" t="str">
        <f t="shared" si="18"/>
        <v>07</v>
      </c>
      <c r="M237" s="101" t="str">
        <f t="shared" si="19"/>
        <v>16</v>
      </c>
    </row>
    <row r="238" spans="1:13">
      <c r="A238" t="str">
        <f t="shared" si="15"/>
        <v>広島大学2237男</v>
      </c>
      <c r="B238" s="149" t="s">
        <v>1364</v>
      </c>
      <c r="C238" s="149">
        <v>2237</v>
      </c>
      <c r="D238" s="149" t="s">
        <v>1433</v>
      </c>
      <c r="E238" s="149" t="s">
        <v>1434</v>
      </c>
      <c r="F238" s="149" t="s">
        <v>265</v>
      </c>
      <c r="G238" s="149" t="s">
        <v>143</v>
      </c>
      <c r="H238" s="151" t="str">
        <f t="shared" si="16"/>
        <v>1994/06/03</v>
      </c>
      <c r="I238" s="149" t="s">
        <v>5</v>
      </c>
      <c r="J238" s="149" t="s">
        <v>3733</v>
      </c>
      <c r="K238" s="101" t="str">
        <f t="shared" si="17"/>
        <v>94</v>
      </c>
      <c r="L238" s="101" t="str">
        <f t="shared" si="18"/>
        <v>06</v>
      </c>
      <c r="M238" s="101" t="str">
        <f t="shared" si="19"/>
        <v>03</v>
      </c>
    </row>
    <row r="239" spans="1:13">
      <c r="A239" t="str">
        <f t="shared" si="15"/>
        <v>広島大学2238男</v>
      </c>
      <c r="B239" s="149" t="s">
        <v>1364</v>
      </c>
      <c r="C239" s="149">
        <v>2238</v>
      </c>
      <c r="D239" s="149" t="s">
        <v>1435</v>
      </c>
      <c r="E239" s="149" t="s">
        <v>1436</v>
      </c>
      <c r="F239" s="149" t="s">
        <v>265</v>
      </c>
      <c r="G239" s="149" t="s">
        <v>143</v>
      </c>
      <c r="H239" s="151" t="str">
        <f t="shared" si="16"/>
        <v>1994/12/31</v>
      </c>
      <c r="I239" s="149" t="s">
        <v>303</v>
      </c>
      <c r="J239" s="149" t="s">
        <v>463</v>
      </c>
      <c r="K239" s="101" t="str">
        <f t="shared" si="17"/>
        <v>94</v>
      </c>
      <c r="L239" s="101" t="str">
        <f t="shared" si="18"/>
        <v>12</v>
      </c>
      <c r="M239" s="101" t="str">
        <f t="shared" si="19"/>
        <v>31</v>
      </c>
    </row>
    <row r="240" spans="1:13">
      <c r="A240" t="str">
        <f t="shared" si="15"/>
        <v>広島大学2239男</v>
      </c>
      <c r="B240" s="149" t="s">
        <v>1364</v>
      </c>
      <c r="C240" s="149">
        <v>2239</v>
      </c>
      <c r="D240" s="149" t="s">
        <v>1437</v>
      </c>
      <c r="E240" s="149" t="s">
        <v>1438</v>
      </c>
      <c r="F240" s="149" t="s">
        <v>265</v>
      </c>
      <c r="G240" s="149" t="s">
        <v>143</v>
      </c>
      <c r="H240" s="151" t="str">
        <f t="shared" si="16"/>
        <v>1994/10/21</v>
      </c>
      <c r="I240" s="149" t="s">
        <v>301</v>
      </c>
      <c r="J240" s="149" t="s">
        <v>910</v>
      </c>
      <c r="K240" s="101" t="str">
        <f t="shared" si="17"/>
        <v>94</v>
      </c>
      <c r="L240" s="101" t="str">
        <f t="shared" si="18"/>
        <v>10</v>
      </c>
      <c r="M240" s="101" t="str">
        <f t="shared" si="19"/>
        <v>21</v>
      </c>
    </row>
    <row r="241" spans="1:13">
      <c r="A241" t="str">
        <f t="shared" si="15"/>
        <v>広島大学2240男</v>
      </c>
      <c r="B241" s="149" t="s">
        <v>1364</v>
      </c>
      <c r="C241" s="149">
        <v>2240</v>
      </c>
      <c r="D241" s="149" t="s">
        <v>1439</v>
      </c>
      <c r="E241" s="149" t="s">
        <v>1440</v>
      </c>
      <c r="F241" s="149" t="s">
        <v>265</v>
      </c>
      <c r="G241" s="149" t="s">
        <v>143</v>
      </c>
      <c r="H241" s="151" t="str">
        <f t="shared" si="16"/>
        <v>1994/11/16</v>
      </c>
      <c r="I241" s="149" t="s">
        <v>276</v>
      </c>
      <c r="J241" s="149" t="s">
        <v>441</v>
      </c>
      <c r="K241" s="101" t="str">
        <f t="shared" si="17"/>
        <v>94</v>
      </c>
      <c r="L241" s="101" t="str">
        <f t="shared" si="18"/>
        <v>11</v>
      </c>
      <c r="M241" s="101" t="str">
        <f t="shared" si="19"/>
        <v>16</v>
      </c>
    </row>
    <row r="242" spans="1:13">
      <c r="A242" t="str">
        <f t="shared" si="15"/>
        <v>広島大学2241男</v>
      </c>
      <c r="B242" s="149" t="s">
        <v>1364</v>
      </c>
      <c r="C242" s="149">
        <v>2241</v>
      </c>
      <c r="D242" s="149" t="s">
        <v>1441</v>
      </c>
      <c r="E242" s="149" t="s">
        <v>1442</v>
      </c>
      <c r="F242" s="149" t="s">
        <v>265</v>
      </c>
      <c r="G242" s="149" t="s">
        <v>143</v>
      </c>
      <c r="H242" s="151" t="str">
        <f t="shared" si="16"/>
        <v>1994/06/13</v>
      </c>
      <c r="I242" s="149" t="s">
        <v>291</v>
      </c>
      <c r="J242" s="149" t="s">
        <v>3734</v>
      </c>
      <c r="K242" s="101" t="str">
        <f t="shared" si="17"/>
        <v>94</v>
      </c>
      <c r="L242" s="101" t="str">
        <f t="shared" si="18"/>
        <v>06</v>
      </c>
      <c r="M242" s="101" t="str">
        <f t="shared" si="19"/>
        <v>13</v>
      </c>
    </row>
    <row r="243" spans="1:13">
      <c r="A243" t="str">
        <f t="shared" si="15"/>
        <v>広島大学2242男</v>
      </c>
      <c r="B243" s="149" t="s">
        <v>1364</v>
      </c>
      <c r="C243" s="149">
        <v>2242</v>
      </c>
      <c r="D243" s="149" t="s">
        <v>1443</v>
      </c>
      <c r="E243" s="149" t="s">
        <v>1444</v>
      </c>
      <c r="F243" s="149" t="s">
        <v>265</v>
      </c>
      <c r="G243" s="149" t="s">
        <v>143</v>
      </c>
      <c r="H243" s="151" t="str">
        <f t="shared" si="16"/>
        <v>1994/01/10</v>
      </c>
      <c r="I243" s="149" t="s">
        <v>295</v>
      </c>
      <c r="J243" s="149" t="s">
        <v>466</v>
      </c>
      <c r="K243" s="101" t="str">
        <f t="shared" si="17"/>
        <v>94</v>
      </c>
      <c r="L243" s="101" t="str">
        <f t="shared" si="18"/>
        <v>01</v>
      </c>
      <c r="M243" s="101" t="str">
        <f t="shared" si="19"/>
        <v>10</v>
      </c>
    </row>
    <row r="244" spans="1:13">
      <c r="A244" t="str">
        <f t="shared" si="15"/>
        <v>広島大学2243男</v>
      </c>
      <c r="B244" s="149" t="s">
        <v>1364</v>
      </c>
      <c r="C244" s="149">
        <v>2243</v>
      </c>
      <c r="D244" s="149" t="s">
        <v>1445</v>
      </c>
      <c r="E244" s="149" t="s">
        <v>1446</v>
      </c>
      <c r="F244" s="149" t="s">
        <v>265</v>
      </c>
      <c r="G244" s="149" t="s">
        <v>143</v>
      </c>
      <c r="H244" s="151" t="str">
        <f t="shared" si="16"/>
        <v>1994/10/07</v>
      </c>
      <c r="I244" s="149" t="s">
        <v>295</v>
      </c>
      <c r="J244" s="149" t="s">
        <v>3735</v>
      </c>
      <c r="K244" s="101" t="str">
        <f t="shared" si="17"/>
        <v>94</v>
      </c>
      <c r="L244" s="101" t="str">
        <f t="shared" si="18"/>
        <v>10</v>
      </c>
      <c r="M244" s="101" t="str">
        <f t="shared" si="19"/>
        <v>07</v>
      </c>
    </row>
    <row r="245" spans="1:13">
      <c r="A245" t="str">
        <f t="shared" si="15"/>
        <v>広島大学2244男</v>
      </c>
      <c r="B245" s="149" t="s">
        <v>1364</v>
      </c>
      <c r="C245" s="149">
        <v>2244</v>
      </c>
      <c r="D245" s="149" t="s">
        <v>1447</v>
      </c>
      <c r="E245" s="149" t="s">
        <v>1448</v>
      </c>
      <c r="F245" s="149" t="s">
        <v>265</v>
      </c>
      <c r="G245" s="149" t="s">
        <v>143</v>
      </c>
      <c r="H245" s="151" t="str">
        <f t="shared" si="16"/>
        <v>1994/05/27</v>
      </c>
      <c r="I245" s="149" t="s">
        <v>299</v>
      </c>
      <c r="J245" s="149" t="s">
        <v>3736</v>
      </c>
      <c r="K245" s="101" t="str">
        <f t="shared" si="17"/>
        <v>94</v>
      </c>
      <c r="L245" s="101" t="str">
        <f t="shared" si="18"/>
        <v>05</v>
      </c>
      <c r="M245" s="101" t="str">
        <f t="shared" si="19"/>
        <v>27</v>
      </c>
    </row>
    <row r="246" spans="1:13">
      <c r="A246" t="str">
        <f t="shared" si="15"/>
        <v>広島大学2245男</v>
      </c>
      <c r="B246" s="149" t="s">
        <v>1364</v>
      </c>
      <c r="C246" s="149">
        <v>2245</v>
      </c>
      <c r="D246" s="149" t="s">
        <v>1449</v>
      </c>
      <c r="E246" s="149" t="s">
        <v>1450</v>
      </c>
      <c r="F246" s="149" t="s">
        <v>265</v>
      </c>
      <c r="G246" s="149" t="s">
        <v>143</v>
      </c>
      <c r="H246" s="151" t="str">
        <f t="shared" si="16"/>
        <v>1994/12/24</v>
      </c>
      <c r="I246" s="149" t="s">
        <v>275</v>
      </c>
      <c r="J246" s="149" t="s">
        <v>588</v>
      </c>
      <c r="K246" s="101" t="str">
        <f t="shared" si="17"/>
        <v>94</v>
      </c>
      <c r="L246" s="101" t="str">
        <f t="shared" si="18"/>
        <v>12</v>
      </c>
      <c r="M246" s="101" t="str">
        <f t="shared" si="19"/>
        <v>24</v>
      </c>
    </row>
    <row r="247" spans="1:13">
      <c r="A247" t="str">
        <f t="shared" si="15"/>
        <v>広島大学2246男</v>
      </c>
      <c r="B247" s="149" t="s">
        <v>1364</v>
      </c>
      <c r="C247" s="149">
        <v>2246</v>
      </c>
      <c r="D247" s="149" t="s">
        <v>1451</v>
      </c>
      <c r="E247" s="149" t="s">
        <v>1452</v>
      </c>
      <c r="F247" s="149" t="s">
        <v>265</v>
      </c>
      <c r="G247" s="149" t="s">
        <v>143</v>
      </c>
      <c r="H247" s="151" t="str">
        <f t="shared" si="16"/>
        <v>1993/09/14</v>
      </c>
      <c r="I247" s="149" t="s">
        <v>295</v>
      </c>
      <c r="J247" s="149" t="s">
        <v>634</v>
      </c>
      <c r="K247" s="101" t="str">
        <f t="shared" si="17"/>
        <v>93</v>
      </c>
      <c r="L247" s="101" t="str">
        <f t="shared" si="18"/>
        <v>09</v>
      </c>
      <c r="M247" s="101" t="str">
        <f t="shared" si="19"/>
        <v>14</v>
      </c>
    </row>
    <row r="248" spans="1:13">
      <c r="A248" t="str">
        <f t="shared" si="15"/>
        <v>広島大学2247男</v>
      </c>
      <c r="B248" s="149" t="s">
        <v>1364</v>
      </c>
      <c r="C248" s="149">
        <v>2247</v>
      </c>
      <c r="D248" s="149" t="s">
        <v>1453</v>
      </c>
      <c r="E248" s="149" t="s">
        <v>1454</v>
      </c>
      <c r="F248" s="149" t="s">
        <v>265</v>
      </c>
      <c r="G248" s="149" t="s">
        <v>143</v>
      </c>
      <c r="H248" s="151" t="str">
        <f t="shared" si="16"/>
        <v>1995/01/16</v>
      </c>
      <c r="I248" s="149" t="s">
        <v>268</v>
      </c>
      <c r="J248" s="149" t="s">
        <v>338</v>
      </c>
      <c r="K248" s="101" t="str">
        <f t="shared" si="17"/>
        <v>95</v>
      </c>
      <c r="L248" s="101" t="str">
        <f t="shared" si="18"/>
        <v>01</v>
      </c>
      <c r="M248" s="101" t="str">
        <f t="shared" si="19"/>
        <v>16</v>
      </c>
    </row>
    <row r="249" spans="1:13">
      <c r="A249" t="str">
        <f t="shared" si="15"/>
        <v>広島大学2248男</v>
      </c>
      <c r="B249" s="149" t="s">
        <v>1364</v>
      </c>
      <c r="C249" s="149">
        <v>2248</v>
      </c>
      <c r="D249" s="149" t="s">
        <v>1455</v>
      </c>
      <c r="E249" s="149" t="s">
        <v>1456</v>
      </c>
      <c r="F249" s="149" t="s">
        <v>265</v>
      </c>
      <c r="G249" s="149" t="s">
        <v>143</v>
      </c>
      <c r="H249" s="151" t="str">
        <f t="shared" si="16"/>
        <v>1994/07/06</v>
      </c>
      <c r="I249" s="149" t="s">
        <v>289</v>
      </c>
      <c r="J249" s="149" t="s">
        <v>590</v>
      </c>
      <c r="K249" s="101" t="str">
        <f t="shared" si="17"/>
        <v>94</v>
      </c>
      <c r="L249" s="101" t="str">
        <f t="shared" si="18"/>
        <v>07</v>
      </c>
      <c r="M249" s="101" t="str">
        <f t="shared" si="19"/>
        <v>06</v>
      </c>
    </row>
    <row r="250" spans="1:13">
      <c r="A250" t="str">
        <f t="shared" si="15"/>
        <v>広島大学2249男</v>
      </c>
      <c r="B250" s="149" t="s">
        <v>1364</v>
      </c>
      <c r="C250" s="149">
        <v>2249</v>
      </c>
      <c r="D250" s="149" t="s">
        <v>1457</v>
      </c>
      <c r="E250" s="149" t="s">
        <v>1458</v>
      </c>
      <c r="F250" s="149" t="s">
        <v>265</v>
      </c>
      <c r="G250" s="149" t="s">
        <v>143</v>
      </c>
      <c r="H250" s="151" t="str">
        <f t="shared" si="16"/>
        <v>1994/06/09</v>
      </c>
      <c r="I250" s="149" t="s">
        <v>299</v>
      </c>
      <c r="J250" s="149" t="s">
        <v>3642</v>
      </c>
      <c r="K250" s="101" t="str">
        <f t="shared" si="17"/>
        <v>94</v>
      </c>
      <c r="L250" s="101" t="str">
        <f t="shared" si="18"/>
        <v>06</v>
      </c>
      <c r="M250" s="101" t="str">
        <f t="shared" si="19"/>
        <v>09</v>
      </c>
    </row>
    <row r="251" spans="1:13">
      <c r="A251" t="str">
        <f t="shared" si="15"/>
        <v>広島大学2250男</v>
      </c>
      <c r="B251" s="149" t="s">
        <v>1364</v>
      </c>
      <c r="C251" s="149">
        <v>2250</v>
      </c>
      <c r="D251" s="149" t="s">
        <v>1459</v>
      </c>
      <c r="E251" s="149" t="s">
        <v>1460</v>
      </c>
      <c r="F251" s="149" t="s">
        <v>265</v>
      </c>
      <c r="G251" s="149" t="s">
        <v>143</v>
      </c>
      <c r="H251" s="151" t="str">
        <f t="shared" si="16"/>
        <v>1994/09/16</v>
      </c>
      <c r="I251" s="149" t="s">
        <v>295</v>
      </c>
      <c r="J251" s="149" t="s">
        <v>770</v>
      </c>
      <c r="K251" s="101" t="str">
        <f t="shared" si="17"/>
        <v>94</v>
      </c>
      <c r="L251" s="101" t="str">
        <f t="shared" si="18"/>
        <v>09</v>
      </c>
      <c r="M251" s="101" t="str">
        <f t="shared" si="19"/>
        <v>16</v>
      </c>
    </row>
    <row r="252" spans="1:13">
      <c r="A252" t="str">
        <f t="shared" si="15"/>
        <v>広島大学2251男</v>
      </c>
      <c r="B252" s="149" t="s">
        <v>1364</v>
      </c>
      <c r="C252" s="149">
        <v>2251</v>
      </c>
      <c r="D252" s="149" t="s">
        <v>1461</v>
      </c>
      <c r="E252" s="149" t="s">
        <v>1462</v>
      </c>
      <c r="F252" s="149" t="s">
        <v>265</v>
      </c>
      <c r="G252" s="149" t="s">
        <v>143</v>
      </c>
      <c r="H252" s="151" t="str">
        <f t="shared" si="16"/>
        <v>1994/07/28</v>
      </c>
      <c r="I252" s="149" t="s">
        <v>295</v>
      </c>
      <c r="J252" s="149" t="s">
        <v>500</v>
      </c>
      <c r="K252" s="101" t="str">
        <f t="shared" si="17"/>
        <v>94</v>
      </c>
      <c r="L252" s="101" t="str">
        <f t="shared" si="18"/>
        <v>07</v>
      </c>
      <c r="M252" s="101" t="str">
        <f t="shared" si="19"/>
        <v>28</v>
      </c>
    </row>
    <row r="253" spans="1:13">
      <c r="A253" t="str">
        <f t="shared" si="15"/>
        <v>広島大学2252男</v>
      </c>
      <c r="B253" s="149" t="s">
        <v>1364</v>
      </c>
      <c r="C253" s="149">
        <v>2252</v>
      </c>
      <c r="D253" s="149" t="s">
        <v>1463</v>
      </c>
      <c r="E253" s="149" t="s">
        <v>1464</v>
      </c>
      <c r="F253" s="149" t="s">
        <v>265</v>
      </c>
      <c r="G253" s="149" t="s">
        <v>143</v>
      </c>
      <c r="H253" s="151" t="str">
        <f t="shared" si="16"/>
        <v>1995/03/19</v>
      </c>
      <c r="I253" s="149" t="s">
        <v>303</v>
      </c>
      <c r="J253" s="149" t="s">
        <v>3661</v>
      </c>
      <c r="K253" s="101" t="str">
        <f t="shared" si="17"/>
        <v>95</v>
      </c>
      <c r="L253" s="101" t="str">
        <f t="shared" si="18"/>
        <v>03</v>
      </c>
      <c r="M253" s="101" t="str">
        <f t="shared" si="19"/>
        <v>19</v>
      </c>
    </row>
    <row r="254" spans="1:13">
      <c r="A254" t="str">
        <f t="shared" si="15"/>
        <v>広島大学2253男</v>
      </c>
      <c r="B254" s="149" t="s">
        <v>1364</v>
      </c>
      <c r="C254" s="149">
        <v>2253</v>
      </c>
      <c r="D254" s="149" t="s">
        <v>1465</v>
      </c>
      <c r="E254" s="149" t="s">
        <v>1466</v>
      </c>
      <c r="F254" s="149" t="s">
        <v>267</v>
      </c>
      <c r="G254" s="149" t="s">
        <v>143</v>
      </c>
      <c r="H254" s="151" t="str">
        <f t="shared" si="16"/>
        <v>1996/01/25</v>
      </c>
      <c r="I254" s="149" t="s">
        <v>275</v>
      </c>
      <c r="J254" s="149" t="s">
        <v>632</v>
      </c>
      <c r="K254" s="101" t="str">
        <f t="shared" si="17"/>
        <v>96</v>
      </c>
      <c r="L254" s="101" t="str">
        <f t="shared" si="18"/>
        <v>01</v>
      </c>
      <c r="M254" s="101" t="str">
        <f t="shared" si="19"/>
        <v>25</v>
      </c>
    </row>
    <row r="255" spans="1:13">
      <c r="A255" t="str">
        <f t="shared" si="15"/>
        <v>広島大学2254男</v>
      </c>
      <c r="B255" s="149" t="s">
        <v>1364</v>
      </c>
      <c r="C255" s="149">
        <v>2254</v>
      </c>
      <c r="D255" s="149" t="s">
        <v>1467</v>
      </c>
      <c r="E255" s="149" t="s">
        <v>1468</v>
      </c>
      <c r="F255" s="149" t="s">
        <v>267</v>
      </c>
      <c r="G255" s="149" t="s">
        <v>143</v>
      </c>
      <c r="H255" s="151" t="str">
        <f t="shared" si="16"/>
        <v>1995/11/16</v>
      </c>
      <c r="I255" s="149" t="s">
        <v>295</v>
      </c>
      <c r="J255" s="149" t="s">
        <v>3737</v>
      </c>
      <c r="K255" s="101" t="str">
        <f t="shared" si="17"/>
        <v>95</v>
      </c>
      <c r="L255" s="101" t="str">
        <f t="shared" si="18"/>
        <v>11</v>
      </c>
      <c r="M255" s="101" t="str">
        <f t="shared" si="19"/>
        <v>16</v>
      </c>
    </row>
    <row r="256" spans="1:13">
      <c r="A256" t="str">
        <f t="shared" si="15"/>
        <v>広島大学2255男</v>
      </c>
      <c r="B256" s="149" t="s">
        <v>1364</v>
      </c>
      <c r="C256" s="149">
        <v>2255</v>
      </c>
      <c r="D256" s="149" t="s">
        <v>1469</v>
      </c>
      <c r="E256" s="149" t="s">
        <v>1470</v>
      </c>
      <c r="F256" s="149" t="s">
        <v>267</v>
      </c>
      <c r="G256" s="149" t="s">
        <v>143</v>
      </c>
      <c r="H256" s="151" t="str">
        <f t="shared" si="16"/>
        <v>1995/10/16</v>
      </c>
      <c r="I256" s="149" t="s">
        <v>266</v>
      </c>
      <c r="J256" s="149" t="s">
        <v>3738</v>
      </c>
      <c r="K256" s="101" t="str">
        <f t="shared" si="17"/>
        <v>95</v>
      </c>
      <c r="L256" s="101" t="str">
        <f t="shared" si="18"/>
        <v>10</v>
      </c>
      <c r="M256" s="101" t="str">
        <f t="shared" si="19"/>
        <v>16</v>
      </c>
    </row>
    <row r="257" spans="1:13">
      <c r="A257" t="str">
        <f t="shared" si="15"/>
        <v>広島大学2256男</v>
      </c>
      <c r="B257" s="149" t="s">
        <v>1364</v>
      </c>
      <c r="C257" s="149">
        <v>2256</v>
      </c>
      <c r="D257" s="149" t="s">
        <v>1471</v>
      </c>
      <c r="E257" s="149" t="s">
        <v>1472</v>
      </c>
      <c r="F257" s="149" t="s">
        <v>267</v>
      </c>
      <c r="G257" s="149" t="s">
        <v>143</v>
      </c>
      <c r="H257" s="151" t="str">
        <f t="shared" si="16"/>
        <v>1994/06/05</v>
      </c>
      <c r="I257" s="149" t="s">
        <v>269</v>
      </c>
      <c r="J257" s="149" t="s">
        <v>3739</v>
      </c>
      <c r="K257" s="101" t="str">
        <f t="shared" si="17"/>
        <v>94</v>
      </c>
      <c r="L257" s="101" t="str">
        <f t="shared" si="18"/>
        <v>06</v>
      </c>
      <c r="M257" s="101" t="str">
        <f t="shared" si="19"/>
        <v>05</v>
      </c>
    </row>
    <row r="258" spans="1:13">
      <c r="A258" t="str">
        <f t="shared" ref="A258:A321" si="20">B258&amp;C258&amp;G258</f>
        <v>広島大学2257男</v>
      </c>
      <c r="B258" s="149" t="s">
        <v>1364</v>
      </c>
      <c r="C258" s="149">
        <v>2257</v>
      </c>
      <c r="D258" s="149" t="s">
        <v>1473</v>
      </c>
      <c r="E258" s="149" t="s">
        <v>1474</v>
      </c>
      <c r="F258" s="149" t="s">
        <v>267</v>
      </c>
      <c r="G258" s="149" t="s">
        <v>143</v>
      </c>
      <c r="H258" s="151" t="str">
        <f t="shared" si="16"/>
        <v>1995/04/06</v>
      </c>
      <c r="I258" s="149" t="s">
        <v>275</v>
      </c>
      <c r="J258" s="149" t="s">
        <v>687</v>
      </c>
      <c r="K258" s="101" t="str">
        <f t="shared" si="17"/>
        <v>95</v>
      </c>
      <c r="L258" s="101" t="str">
        <f t="shared" si="18"/>
        <v>04</v>
      </c>
      <c r="M258" s="101" t="str">
        <f t="shared" si="19"/>
        <v>06</v>
      </c>
    </row>
    <row r="259" spans="1:13">
      <c r="A259" t="str">
        <f t="shared" si="20"/>
        <v>広島大学2258男</v>
      </c>
      <c r="B259" s="149" t="s">
        <v>1364</v>
      </c>
      <c r="C259" s="149">
        <v>2258</v>
      </c>
      <c r="D259" s="149" t="s">
        <v>1475</v>
      </c>
      <c r="E259" s="149" t="s">
        <v>1476</v>
      </c>
      <c r="F259" s="149" t="s">
        <v>267</v>
      </c>
      <c r="G259" s="149" t="s">
        <v>143</v>
      </c>
      <c r="H259" s="151" t="str">
        <f t="shared" ref="H259:H322" si="21">"19"&amp;K259&amp;"/"&amp;L259&amp;"/"&amp;M259</f>
        <v>1995/08/12</v>
      </c>
      <c r="I259" s="149" t="s">
        <v>295</v>
      </c>
      <c r="J259" s="149" t="s">
        <v>3740</v>
      </c>
      <c r="K259" s="101" t="str">
        <f t="shared" ref="K259:K322" si="22">MID(J259,1,2)</f>
        <v>95</v>
      </c>
      <c r="L259" s="101" t="str">
        <f t="shared" ref="L259:L322" si="23">MID(J259,3,2)</f>
        <v>08</v>
      </c>
      <c r="M259" s="101" t="str">
        <f t="shared" ref="M259:M322" si="24">MID(J259,5,2)</f>
        <v>12</v>
      </c>
    </row>
    <row r="260" spans="1:13">
      <c r="A260" t="str">
        <f t="shared" si="20"/>
        <v>広島大学2259男</v>
      </c>
      <c r="B260" s="149" t="s">
        <v>1364</v>
      </c>
      <c r="C260" s="149">
        <v>2259</v>
      </c>
      <c r="D260" s="149" t="s">
        <v>1477</v>
      </c>
      <c r="E260" s="149" t="s">
        <v>1478</v>
      </c>
      <c r="F260" s="149" t="s">
        <v>267</v>
      </c>
      <c r="G260" s="149" t="s">
        <v>143</v>
      </c>
      <c r="H260" s="151" t="str">
        <f t="shared" si="21"/>
        <v>1995/07/01</v>
      </c>
      <c r="I260" s="149" t="s">
        <v>300</v>
      </c>
      <c r="J260" s="149" t="s">
        <v>3741</v>
      </c>
      <c r="K260" s="101" t="str">
        <f t="shared" si="22"/>
        <v>95</v>
      </c>
      <c r="L260" s="101" t="str">
        <f t="shared" si="23"/>
        <v>07</v>
      </c>
      <c r="M260" s="101" t="str">
        <f t="shared" si="24"/>
        <v>01</v>
      </c>
    </row>
    <row r="261" spans="1:13">
      <c r="A261" t="str">
        <f t="shared" si="20"/>
        <v>広島大学2260男</v>
      </c>
      <c r="B261" s="149" t="s">
        <v>1364</v>
      </c>
      <c r="C261" s="149">
        <v>2260</v>
      </c>
      <c r="D261" s="149" t="s">
        <v>1479</v>
      </c>
      <c r="E261" s="149" t="s">
        <v>1480</v>
      </c>
      <c r="F261" s="149" t="s">
        <v>267</v>
      </c>
      <c r="G261" s="149" t="s">
        <v>143</v>
      </c>
      <c r="H261" s="151" t="str">
        <f t="shared" si="21"/>
        <v>1995/08/16</v>
      </c>
      <c r="I261" s="149" t="s">
        <v>295</v>
      </c>
      <c r="J261" s="149" t="s">
        <v>613</v>
      </c>
      <c r="K261" s="101" t="str">
        <f t="shared" si="22"/>
        <v>95</v>
      </c>
      <c r="L261" s="101" t="str">
        <f t="shared" si="23"/>
        <v>08</v>
      </c>
      <c r="M261" s="101" t="str">
        <f t="shared" si="24"/>
        <v>16</v>
      </c>
    </row>
    <row r="262" spans="1:13">
      <c r="A262" t="str">
        <f t="shared" si="20"/>
        <v>広島大学2261男</v>
      </c>
      <c r="B262" s="149" t="s">
        <v>1364</v>
      </c>
      <c r="C262" s="149">
        <v>2261</v>
      </c>
      <c r="D262" s="149" t="s">
        <v>1481</v>
      </c>
      <c r="E262" s="149" t="s">
        <v>1482</v>
      </c>
      <c r="F262" s="149" t="s">
        <v>267</v>
      </c>
      <c r="G262" s="149" t="s">
        <v>143</v>
      </c>
      <c r="H262" s="151" t="str">
        <f t="shared" si="21"/>
        <v>1995/04/20</v>
      </c>
      <c r="I262" s="149" t="s">
        <v>273</v>
      </c>
      <c r="J262" s="149" t="s">
        <v>3742</v>
      </c>
      <c r="K262" s="101" t="str">
        <f t="shared" si="22"/>
        <v>95</v>
      </c>
      <c r="L262" s="101" t="str">
        <f t="shared" si="23"/>
        <v>04</v>
      </c>
      <c r="M262" s="101" t="str">
        <f t="shared" si="24"/>
        <v>20</v>
      </c>
    </row>
    <row r="263" spans="1:13">
      <c r="A263" t="str">
        <f t="shared" si="20"/>
        <v>広島大学2262男</v>
      </c>
      <c r="B263" s="149" t="s">
        <v>1364</v>
      </c>
      <c r="C263" s="149">
        <v>2262</v>
      </c>
      <c r="D263" s="149" t="s">
        <v>1483</v>
      </c>
      <c r="E263" s="149" t="s">
        <v>1484</v>
      </c>
      <c r="F263" s="149" t="s">
        <v>267</v>
      </c>
      <c r="G263" s="149" t="s">
        <v>143</v>
      </c>
      <c r="H263" s="151" t="str">
        <f t="shared" si="21"/>
        <v>1996/01/20</v>
      </c>
      <c r="I263" s="149" t="s">
        <v>275</v>
      </c>
      <c r="J263" s="149" t="s">
        <v>823</v>
      </c>
      <c r="K263" s="101" t="str">
        <f t="shared" si="22"/>
        <v>96</v>
      </c>
      <c r="L263" s="101" t="str">
        <f t="shared" si="23"/>
        <v>01</v>
      </c>
      <c r="M263" s="101" t="str">
        <f t="shared" si="24"/>
        <v>20</v>
      </c>
    </row>
    <row r="264" spans="1:13">
      <c r="A264" t="str">
        <f t="shared" si="20"/>
        <v>広島大学2263男</v>
      </c>
      <c r="B264" s="149" t="s">
        <v>1364</v>
      </c>
      <c r="C264" s="149">
        <v>2263</v>
      </c>
      <c r="D264" s="149" t="s">
        <v>1485</v>
      </c>
      <c r="E264" s="149" t="s">
        <v>1486</v>
      </c>
      <c r="F264" s="149" t="s">
        <v>267</v>
      </c>
      <c r="G264" s="149" t="s">
        <v>143</v>
      </c>
      <c r="H264" s="151" t="str">
        <f t="shared" si="21"/>
        <v>1995/11/15</v>
      </c>
      <c r="I264" s="149" t="s">
        <v>270</v>
      </c>
      <c r="J264" s="149" t="s">
        <v>3743</v>
      </c>
      <c r="K264" s="101" t="str">
        <f t="shared" si="22"/>
        <v>95</v>
      </c>
      <c r="L264" s="101" t="str">
        <f t="shared" si="23"/>
        <v>11</v>
      </c>
      <c r="M264" s="101" t="str">
        <f t="shared" si="24"/>
        <v>15</v>
      </c>
    </row>
    <row r="265" spans="1:13">
      <c r="A265" t="str">
        <f t="shared" si="20"/>
        <v>広島大学2264男</v>
      </c>
      <c r="B265" s="149" t="s">
        <v>1364</v>
      </c>
      <c r="C265" s="149">
        <v>2264</v>
      </c>
      <c r="D265" s="149" t="s">
        <v>1487</v>
      </c>
      <c r="E265" s="149" t="s">
        <v>1488</v>
      </c>
      <c r="F265" s="149" t="s">
        <v>267</v>
      </c>
      <c r="G265" s="149" t="s">
        <v>143</v>
      </c>
      <c r="H265" s="151" t="str">
        <f t="shared" si="21"/>
        <v>1994/04/27</v>
      </c>
      <c r="I265" s="149" t="s">
        <v>295</v>
      </c>
      <c r="J265" s="149" t="s">
        <v>376</v>
      </c>
      <c r="K265" s="101" t="str">
        <f t="shared" si="22"/>
        <v>94</v>
      </c>
      <c r="L265" s="101" t="str">
        <f t="shared" si="23"/>
        <v>04</v>
      </c>
      <c r="M265" s="101" t="str">
        <f t="shared" si="24"/>
        <v>27</v>
      </c>
    </row>
    <row r="266" spans="1:13">
      <c r="A266" t="str">
        <f t="shared" si="20"/>
        <v>広島大学2265男</v>
      </c>
      <c r="B266" s="149" t="s">
        <v>1364</v>
      </c>
      <c r="C266" s="149">
        <v>2265</v>
      </c>
      <c r="D266" s="149" t="s">
        <v>1489</v>
      </c>
      <c r="E266" s="149" t="s">
        <v>1490</v>
      </c>
      <c r="F266" s="149" t="s">
        <v>267</v>
      </c>
      <c r="G266" s="149" t="s">
        <v>143</v>
      </c>
      <c r="H266" s="151" t="str">
        <f t="shared" si="21"/>
        <v>1995/10/09</v>
      </c>
      <c r="I266" s="149" t="s">
        <v>300</v>
      </c>
      <c r="J266" s="149" t="s">
        <v>868</v>
      </c>
      <c r="K266" s="101" t="str">
        <f t="shared" si="22"/>
        <v>95</v>
      </c>
      <c r="L266" s="101" t="str">
        <f t="shared" si="23"/>
        <v>10</v>
      </c>
      <c r="M266" s="101" t="str">
        <f t="shared" si="24"/>
        <v>09</v>
      </c>
    </row>
    <row r="267" spans="1:13">
      <c r="A267" t="str">
        <f t="shared" si="20"/>
        <v>広島大学2266男</v>
      </c>
      <c r="B267" s="149" t="s">
        <v>1364</v>
      </c>
      <c r="C267" s="149">
        <v>2266</v>
      </c>
      <c r="D267" s="149" t="s">
        <v>1491</v>
      </c>
      <c r="E267" s="149" t="s">
        <v>1492</v>
      </c>
      <c r="F267" s="149" t="s">
        <v>267</v>
      </c>
      <c r="G267" s="149" t="s">
        <v>143</v>
      </c>
      <c r="H267" s="151" t="str">
        <f t="shared" si="21"/>
        <v>1995/11/02</v>
      </c>
      <c r="I267" s="149" t="s">
        <v>270</v>
      </c>
      <c r="J267" s="149" t="s">
        <v>389</v>
      </c>
      <c r="K267" s="101" t="str">
        <f t="shared" si="22"/>
        <v>95</v>
      </c>
      <c r="L267" s="101" t="str">
        <f t="shared" si="23"/>
        <v>11</v>
      </c>
      <c r="M267" s="101" t="str">
        <f t="shared" si="24"/>
        <v>02</v>
      </c>
    </row>
    <row r="268" spans="1:13">
      <c r="A268" t="str">
        <f t="shared" si="20"/>
        <v>広島大学2267男</v>
      </c>
      <c r="B268" s="149" t="s">
        <v>1364</v>
      </c>
      <c r="C268" s="149">
        <v>2267</v>
      </c>
      <c r="D268" s="149" t="s">
        <v>1493</v>
      </c>
      <c r="E268" s="149" t="s">
        <v>1494</v>
      </c>
      <c r="F268" s="149" t="s">
        <v>267</v>
      </c>
      <c r="G268" s="149" t="s">
        <v>143</v>
      </c>
      <c r="H268" s="151" t="str">
        <f t="shared" si="21"/>
        <v>1995/01/24</v>
      </c>
      <c r="I268" s="149" t="s">
        <v>295</v>
      </c>
      <c r="J268" s="149" t="s">
        <v>518</v>
      </c>
      <c r="K268" s="101" t="str">
        <f t="shared" si="22"/>
        <v>95</v>
      </c>
      <c r="L268" s="101" t="str">
        <f t="shared" si="23"/>
        <v>01</v>
      </c>
      <c r="M268" s="101" t="str">
        <f t="shared" si="24"/>
        <v>24</v>
      </c>
    </row>
    <row r="269" spans="1:13">
      <c r="A269" t="str">
        <f t="shared" si="20"/>
        <v>広島大学2268男</v>
      </c>
      <c r="B269" s="149" t="s">
        <v>1364</v>
      </c>
      <c r="C269" s="149">
        <v>2268</v>
      </c>
      <c r="D269" s="149" t="s">
        <v>1495</v>
      </c>
      <c r="E269" s="149" t="s">
        <v>1496</v>
      </c>
      <c r="F269" s="149" t="s">
        <v>267</v>
      </c>
      <c r="G269" s="149" t="s">
        <v>143</v>
      </c>
      <c r="H269" s="151" t="str">
        <f t="shared" si="21"/>
        <v>1995/08/24</v>
      </c>
      <c r="I269" s="149" t="s">
        <v>295</v>
      </c>
      <c r="J269" s="149" t="s">
        <v>3744</v>
      </c>
      <c r="K269" s="101" t="str">
        <f t="shared" si="22"/>
        <v>95</v>
      </c>
      <c r="L269" s="101" t="str">
        <f t="shared" si="23"/>
        <v>08</v>
      </c>
      <c r="M269" s="101" t="str">
        <f t="shared" si="24"/>
        <v>24</v>
      </c>
    </row>
    <row r="270" spans="1:13">
      <c r="A270" t="str">
        <f t="shared" si="20"/>
        <v>広島大学2269男</v>
      </c>
      <c r="B270" s="149" t="s">
        <v>1364</v>
      </c>
      <c r="C270" s="149">
        <v>2269</v>
      </c>
      <c r="D270" s="149" t="s">
        <v>1497</v>
      </c>
      <c r="E270" s="149" t="s">
        <v>1498</v>
      </c>
      <c r="F270" s="149" t="s">
        <v>267</v>
      </c>
      <c r="G270" s="149" t="s">
        <v>143</v>
      </c>
      <c r="H270" s="151" t="str">
        <f t="shared" si="21"/>
        <v>1995/10/11</v>
      </c>
      <c r="I270" s="149" t="s">
        <v>295</v>
      </c>
      <c r="J270" s="149" t="s">
        <v>908</v>
      </c>
      <c r="K270" s="101" t="str">
        <f t="shared" si="22"/>
        <v>95</v>
      </c>
      <c r="L270" s="101" t="str">
        <f t="shared" si="23"/>
        <v>10</v>
      </c>
      <c r="M270" s="101" t="str">
        <f t="shared" si="24"/>
        <v>11</v>
      </c>
    </row>
    <row r="271" spans="1:13">
      <c r="A271" t="str">
        <f t="shared" si="20"/>
        <v>広島大学2270男</v>
      </c>
      <c r="B271" s="149" t="s">
        <v>1364</v>
      </c>
      <c r="C271" s="149">
        <v>2270</v>
      </c>
      <c r="D271" s="149" t="s">
        <v>1499</v>
      </c>
      <c r="E271" s="149" t="s">
        <v>1500</v>
      </c>
      <c r="F271" s="149" t="s">
        <v>267</v>
      </c>
      <c r="G271" s="149" t="s">
        <v>143</v>
      </c>
      <c r="H271" s="151" t="str">
        <f t="shared" si="21"/>
        <v>1995/01/30</v>
      </c>
      <c r="I271" s="149" t="s">
        <v>275</v>
      </c>
      <c r="J271" s="149" t="s">
        <v>449</v>
      </c>
      <c r="K271" s="101" t="str">
        <f t="shared" si="22"/>
        <v>95</v>
      </c>
      <c r="L271" s="101" t="str">
        <f t="shared" si="23"/>
        <v>01</v>
      </c>
      <c r="M271" s="101" t="str">
        <f t="shared" si="24"/>
        <v>30</v>
      </c>
    </row>
    <row r="272" spans="1:13">
      <c r="A272" t="str">
        <f t="shared" si="20"/>
        <v>広島大学2271男</v>
      </c>
      <c r="B272" s="149" t="s">
        <v>1364</v>
      </c>
      <c r="C272" s="149">
        <v>2271</v>
      </c>
      <c r="D272" s="149" t="s">
        <v>1501</v>
      </c>
      <c r="E272" s="149" t="s">
        <v>1502</v>
      </c>
      <c r="F272" s="149" t="s">
        <v>267</v>
      </c>
      <c r="G272" s="149" t="s">
        <v>143</v>
      </c>
      <c r="H272" s="151" t="str">
        <f t="shared" si="21"/>
        <v>1995/05/20</v>
      </c>
      <c r="I272" s="149" t="s">
        <v>305</v>
      </c>
      <c r="J272" s="149" t="s">
        <v>489</v>
      </c>
      <c r="K272" s="101" t="str">
        <f t="shared" si="22"/>
        <v>95</v>
      </c>
      <c r="L272" s="101" t="str">
        <f t="shared" si="23"/>
        <v>05</v>
      </c>
      <c r="M272" s="101" t="str">
        <f t="shared" si="24"/>
        <v>20</v>
      </c>
    </row>
    <row r="273" spans="1:13">
      <c r="A273" t="str">
        <f t="shared" si="20"/>
        <v>広島大学2272男</v>
      </c>
      <c r="B273" s="149" t="s">
        <v>1364</v>
      </c>
      <c r="C273" s="149">
        <v>2272</v>
      </c>
      <c r="D273" s="149" t="s">
        <v>1503</v>
      </c>
      <c r="E273" s="149" t="s">
        <v>1504</v>
      </c>
      <c r="F273" s="149" t="s">
        <v>267</v>
      </c>
      <c r="G273" s="149" t="s">
        <v>143</v>
      </c>
      <c r="H273" s="151" t="str">
        <f t="shared" si="21"/>
        <v>1995/06/07</v>
      </c>
      <c r="I273" s="149" t="s">
        <v>295</v>
      </c>
      <c r="J273" s="149" t="s">
        <v>502</v>
      </c>
      <c r="K273" s="101" t="str">
        <f t="shared" si="22"/>
        <v>95</v>
      </c>
      <c r="L273" s="101" t="str">
        <f t="shared" si="23"/>
        <v>06</v>
      </c>
      <c r="M273" s="101" t="str">
        <f t="shared" si="24"/>
        <v>07</v>
      </c>
    </row>
    <row r="274" spans="1:13">
      <c r="A274" t="str">
        <f t="shared" si="20"/>
        <v>広島大学2273男</v>
      </c>
      <c r="B274" s="149" t="s">
        <v>1364</v>
      </c>
      <c r="C274" s="149">
        <v>2273</v>
      </c>
      <c r="D274" s="149" t="s">
        <v>1505</v>
      </c>
      <c r="E274" s="149" t="s">
        <v>1506</v>
      </c>
      <c r="F274" s="149" t="s">
        <v>267</v>
      </c>
      <c r="G274" s="149" t="s">
        <v>143</v>
      </c>
      <c r="H274" s="151" t="str">
        <f t="shared" si="21"/>
        <v>1995/09/18</v>
      </c>
      <c r="I274" s="149" t="s">
        <v>261</v>
      </c>
      <c r="J274" s="149" t="s">
        <v>383</v>
      </c>
      <c r="K274" s="101" t="str">
        <f t="shared" si="22"/>
        <v>95</v>
      </c>
      <c r="L274" s="101" t="str">
        <f t="shared" si="23"/>
        <v>09</v>
      </c>
      <c r="M274" s="101" t="str">
        <f t="shared" si="24"/>
        <v>18</v>
      </c>
    </row>
    <row r="275" spans="1:13">
      <c r="A275" t="str">
        <f t="shared" si="20"/>
        <v>広島大学2274男</v>
      </c>
      <c r="B275" s="149" t="s">
        <v>1364</v>
      </c>
      <c r="C275" s="149">
        <v>2274</v>
      </c>
      <c r="D275" s="149" t="s">
        <v>1507</v>
      </c>
      <c r="E275" s="149" t="s">
        <v>1508</v>
      </c>
      <c r="F275" s="149" t="s">
        <v>267</v>
      </c>
      <c r="G275" s="149" t="s">
        <v>143</v>
      </c>
      <c r="H275" s="151" t="str">
        <f t="shared" si="21"/>
        <v>1994/04/29</v>
      </c>
      <c r="I275" s="149" t="s">
        <v>300</v>
      </c>
      <c r="J275" s="149" t="s">
        <v>483</v>
      </c>
      <c r="K275" s="101" t="str">
        <f t="shared" si="22"/>
        <v>94</v>
      </c>
      <c r="L275" s="101" t="str">
        <f t="shared" si="23"/>
        <v>04</v>
      </c>
      <c r="M275" s="101" t="str">
        <f t="shared" si="24"/>
        <v>29</v>
      </c>
    </row>
    <row r="276" spans="1:13">
      <c r="A276" t="str">
        <f t="shared" si="20"/>
        <v>広島大学2275男</v>
      </c>
      <c r="B276" s="149" t="s">
        <v>1364</v>
      </c>
      <c r="C276" s="149">
        <v>2275</v>
      </c>
      <c r="D276" s="149" t="s">
        <v>1509</v>
      </c>
      <c r="E276" s="149" t="s">
        <v>1510</v>
      </c>
      <c r="F276" s="149" t="s">
        <v>267</v>
      </c>
      <c r="G276" s="149" t="s">
        <v>143</v>
      </c>
      <c r="H276" s="151" t="str">
        <f t="shared" si="21"/>
        <v>1995/12/17</v>
      </c>
      <c r="I276" s="149" t="s">
        <v>291</v>
      </c>
      <c r="J276" s="149" t="s">
        <v>3745</v>
      </c>
      <c r="K276" s="101" t="str">
        <f t="shared" si="22"/>
        <v>95</v>
      </c>
      <c r="L276" s="101" t="str">
        <f t="shared" si="23"/>
        <v>12</v>
      </c>
      <c r="M276" s="101" t="str">
        <f t="shared" si="24"/>
        <v>17</v>
      </c>
    </row>
    <row r="277" spans="1:13">
      <c r="A277" t="str">
        <f t="shared" si="20"/>
        <v>広島大学2276男</v>
      </c>
      <c r="B277" s="149" t="s">
        <v>1364</v>
      </c>
      <c r="C277" s="149">
        <v>2276</v>
      </c>
      <c r="D277" s="149" t="s">
        <v>1511</v>
      </c>
      <c r="E277" s="149" t="s">
        <v>1512</v>
      </c>
      <c r="F277" s="149" t="s">
        <v>267</v>
      </c>
      <c r="G277" s="149" t="s">
        <v>143</v>
      </c>
      <c r="H277" s="151" t="str">
        <f t="shared" si="21"/>
        <v>1995/10/26</v>
      </c>
      <c r="I277" s="149" t="s">
        <v>295</v>
      </c>
      <c r="J277" s="149" t="s">
        <v>623</v>
      </c>
      <c r="K277" s="101" t="str">
        <f t="shared" si="22"/>
        <v>95</v>
      </c>
      <c r="L277" s="101" t="str">
        <f t="shared" si="23"/>
        <v>10</v>
      </c>
      <c r="M277" s="101" t="str">
        <f t="shared" si="24"/>
        <v>26</v>
      </c>
    </row>
    <row r="278" spans="1:13">
      <c r="A278" t="str">
        <f t="shared" si="20"/>
        <v>広島大学2277男</v>
      </c>
      <c r="B278" s="149" t="s">
        <v>1364</v>
      </c>
      <c r="C278" s="149">
        <v>2277</v>
      </c>
      <c r="D278" s="149" t="s">
        <v>1513</v>
      </c>
      <c r="E278" s="149" t="s">
        <v>1514</v>
      </c>
      <c r="F278" s="149" t="s">
        <v>267</v>
      </c>
      <c r="G278" s="149" t="s">
        <v>143</v>
      </c>
      <c r="H278" s="151" t="str">
        <f t="shared" si="21"/>
        <v>1994/06/07</v>
      </c>
      <c r="I278" s="149" t="s">
        <v>282</v>
      </c>
      <c r="J278" s="149" t="s">
        <v>529</v>
      </c>
      <c r="K278" s="101" t="str">
        <f t="shared" si="22"/>
        <v>94</v>
      </c>
      <c r="L278" s="101" t="str">
        <f t="shared" si="23"/>
        <v>06</v>
      </c>
      <c r="M278" s="101" t="str">
        <f t="shared" si="24"/>
        <v>07</v>
      </c>
    </row>
    <row r="279" spans="1:13">
      <c r="A279" t="str">
        <f t="shared" si="20"/>
        <v>広島大学2278男</v>
      </c>
      <c r="B279" s="149" t="s">
        <v>1364</v>
      </c>
      <c r="C279" s="149">
        <v>2278</v>
      </c>
      <c r="D279" s="149" t="s">
        <v>1515</v>
      </c>
      <c r="E279" s="149" t="s">
        <v>1516</v>
      </c>
      <c r="F279" s="149" t="s">
        <v>267</v>
      </c>
      <c r="G279" s="149" t="s">
        <v>143</v>
      </c>
      <c r="H279" s="151" t="str">
        <f t="shared" si="21"/>
        <v>1995/06/14</v>
      </c>
      <c r="I279" s="149" t="s">
        <v>305</v>
      </c>
      <c r="J279" s="149" t="s">
        <v>486</v>
      </c>
      <c r="K279" s="101" t="str">
        <f t="shared" si="22"/>
        <v>95</v>
      </c>
      <c r="L279" s="101" t="str">
        <f t="shared" si="23"/>
        <v>06</v>
      </c>
      <c r="M279" s="101" t="str">
        <f t="shared" si="24"/>
        <v>14</v>
      </c>
    </row>
    <row r="280" spans="1:13">
      <c r="A280" t="str">
        <f t="shared" si="20"/>
        <v>広島大学2279男</v>
      </c>
      <c r="B280" s="149" t="s">
        <v>1364</v>
      </c>
      <c r="C280" s="149">
        <v>2279</v>
      </c>
      <c r="D280" s="149" t="s">
        <v>1517</v>
      </c>
      <c r="E280" s="149" t="s">
        <v>1518</v>
      </c>
      <c r="F280" s="149" t="s">
        <v>267</v>
      </c>
      <c r="G280" s="149" t="s">
        <v>143</v>
      </c>
      <c r="H280" s="151" t="str">
        <f t="shared" si="21"/>
        <v>1995/04/04</v>
      </c>
      <c r="I280" s="149" t="s">
        <v>295</v>
      </c>
      <c r="J280" s="149" t="s">
        <v>409</v>
      </c>
      <c r="K280" s="101" t="str">
        <f t="shared" si="22"/>
        <v>95</v>
      </c>
      <c r="L280" s="101" t="str">
        <f t="shared" si="23"/>
        <v>04</v>
      </c>
      <c r="M280" s="101" t="str">
        <f t="shared" si="24"/>
        <v>04</v>
      </c>
    </row>
    <row r="281" spans="1:13">
      <c r="A281" t="str">
        <f t="shared" si="20"/>
        <v>広島大学2280男</v>
      </c>
      <c r="B281" s="149" t="s">
        <v>1364</v>
      </c>
      <c r="C281" s="149">
        <v>2280</v>
      </c>
      <c r="D281" s="149" t="s">
        <v>1519</v>
      </c>
      <c r="E281" s="149" t="s">
        <v>1520</v>
      </c>
      <c r="F281" s="149" t="s">
        <v>267</v>
      </c>
      <c r="G281" s="149" t="s">
        <v>143</v>
      </c>
      <c r="H281" s="151" t="str">
        <f t="shared" si="21"/>
        <v>1996/02/15</v>
      </c>
      <c r="I281" s="149" t="s">
        <v>5</v>
      </c>
      <c r="J281" s="149" t="s">
        <v>537</v>
      </c>
      <c r="K281" s="101" t="str">
        <f t="shared" si="22"/>
        <v>96</v>
      </c>
      <c r="L281" s="101" t="str">
        <f t="shared" si="23"/>
        <v>02</v>
      </c>
      <c r="M281" s="101" t="str">
        <f t="shared" si="24"/>
        <v>15</v>
      </c>
    </row>
    <row r="282" spans="1:13">
      <c r="A282" t="str">
        <f t="shared" si="20"/>
        <v>広島大学2281男</v>
      </c>
      <c r="B282" s="149" t="s">
        <v>1364</v>
      </c>
      <c r="C282" s="149">
        <v>2281</v>
      </c>
      <c r="D282" s="149" t="s">
        <v>1521</v>
      </c>
      <c r="E282" s="149" t="s">
        <v>1522</v>
      </c>
      <c r="F282" s="149" t="s">
        <v>267</v>
      </c>
      <c r="G282" s="149" t="s">
        <v>143</v>
      </c>
      <c r="H282" s="151" t="str">
        <f t="shared" si="21"/>
        <v>1995/07/24</v>
      </c>
      <c r="I282" s="149" t="s">
        <v>5</v>
      </c>
      <c r="J282" s="149" t="s">
        <v>3746</v>
      </c>
      <c r="K282" s="101" t="str">
        <f t="shared" si="22"/>
        <v>95</v>
      </c>
      <c r="L282" s="101" t="str">
        <f t="shared" si="23"/>
        <v>07</v>
      </c>
      <c r="M282" s="101" t="str">
        <f t="shared" si="24"/>
        <v>24</v>
      </c>
    </row>
    <row r="283" spans="1:13">
      <c r="A283" t="str">
        <f t="shared" si="20"/>
        <v>広島大学2282男</v>
      </c>
      <c r="B283" s="149" t="s">
        <v>1364</v>
      </c>
      <c r="C283" s="149">
        <v>2282</v>
      </c>
      <c r="D283" s="149" t="s">
        <v>1523</v>
      </c>
      <c r="E283" s="149" t="s">
        <v>1524</v>
      </c>
      <c r="F283" s="149" t="s">
        <v>280</v>
      </c>
      <c r="G283" s="149" t="s">
        <v>143</v>
      </c>
      <c r="H283" s="151" t="str">
        <f t="shared" si="21"/>
        <v>1996/12/12</v>
      </c>
      <c r="I283" s="149" t="s">
        <v>290</v>
      </c>
      <c r="J283" s="149" t="s">
        <v>776</v>
      </c>
      <c r="K283" s="101" t="str">
        <f t="shared" si="22"/>
        <v>96</v>
      </c>
      <c r="L283" s="101" t="str">
        <f t="shared" si="23"/>
        <v>12</v>
      </c>
      <c r="M283" s="101" t="str">
        <f t="shared" si="24"/>
        <v>12</v>
      </c>
    </row>
    <row r="284" spans="1:13">
      <c r="A284" t="str">
        <f t="shared" si="20"/>
        <v>広島大学2283男</v>
      </c>
      <c r="B284" s="149" t="s">
        <v>1364</v>
      </c>
      <c r="C284" s="149">
        <v>2283</v>
      </c>
      <c r="D284" s="149" t="s">
        <v>1525</v>
      </c>
      <c r="E284" s="149" t="s">
        <v>1526</v>
      </c>
      <c r="F284" s="149" t="s">
        <v>3623</v>
      </c>
      <c r="G284" s="149" t="s">
        <v>143</v>
      </c>
      <c r="H284" s="151" t="str">
        <f t="shared" si="21"/>
        <v>1991/04/11</v>
      </c>
      <c r="I284" s="149" t="s">
        <v>295</v>
      </c>
      <c r="J284" s="149" t="s">
        <v>3747</v>
      </c>
      <c r="K284" s="101" t="str">
        <f t="shared" si="22"/>
        <v>91</v>
      </c>
      <c r="L284" s="101" t="str">
        <f t="shared" si="23"/>
        <v>04</v>
      </c>
      <c r="M284" s="101" t="str">
        <f t="shared" si="24"/>
        <v>11</v>
      </c>
    </row>
    <row r="285" spans="1:13">
      <c r="A285" t="str">
        <f t="shared" si="20"/>
        <v>広島大学2284男</v>
      </c>
      <c r="B285" s="149" t="s">
        <v>1364</v>
      </c>
      <c r="C285" s="149">
        <v>2284</v>
      </c>
      <c r="D285" s="149" t="s">
        <v>1527</v>
      </c>
      <c r="E285" s="149" t="s">
        <v>1528</v>
      </c>
      <c r="F285" s="149" t="s">
        <v>3623</v>
      </c>
      <c r="G285" s="149" t="s">
        <v>143</v>
      </c>
      <c r="H285" s="151" t="str">
        <f t="shared" si="21"/>
        <v>1990/04/24</v>
      </c>
      <c r="I285" s="149" t="s">
        <v>295</v>
      </c>
      <c r="J285" s="149" t="s">
        <v>3748</v>
      </c>
      <c r="K285" s="101" t="str">
        <f t="shared" si="22"/>
        <v>90</v>
      </c>
      <c r="L285" s="101" t="str">
        <f t="shared" si="23"/>
        <v>04</v>
      </c>
      <c r="M285" s="101" t="str">
        <f t="shared" si="24"/>
        <v>24</v>
      </c>
    </row>
    <row r="286" spans="1:13">
      <c r="A286" t="str">
        <f t="shared" si="20"/>
        <v>広島大学2285男</v>
      </c>
      <c r="B286" s="149" t="s">
        <v>1364</v>
      </c>
      <c r="C286" s="149">
        <v>2285</v>
      </c>
      <c r="D286" s="149" t="s">
        <v>1529</v>
      </c>
      <c r="E286" s="149" t="s">
        <v>1530</v>
      </c>
      <c r="F286" s="149" t="s">
        <v>3623</v>
      </c>
      <c r="G286" s="149" t="s">
        <v>143</v>
      </c>
      <c r="H286" s="151" t="str">
        <f t="shared" si="21"/>
        <v>1987/06/12</v>
      </c>
      <c r="I286" s="149" t="s">
        <v>295</v>
      </c>
      <c r="J286" s="149" t="s">
        <v>3749</v>
      </c>
      <c r="K286" s="101" t="str">
        <f t="shared" si="22"/>
        <v>87</v>
      </c>
      <c r="L286" s="101" t="str">
        <f t="shared" si="23"/>
        <v>06</v>
      </c>
      <c r="M286" s="101" t="str">
        <f t="shared" si="24"/>
        <v>12</v>
      </c>
    </row>
    <row r="287" spans="1:13">
      <c r="A287" t="str">
        <f t="shared" si="20"/>
        <v>広島大学2286男</v>
      </c>
      <c r="B287" s="149" t="s">
        <v>1364</v>
      </c>
      <c r="C287" s="149">
        <v>2286</v>
      </c>
      <c r="D287" s="149" t="s">
        <v>1531</v>
      </c>
      <c r="E287" s="149" t="s">
        <v>1532</v>
      </c>
      <c r="F287" s="149" t="s">
        <v>3623</v>
      </c>
      <c r="G287" s="149" t="s">
        <v>143</v>
      </c>
      <c r="H287" s="151" t="str">
        <f t="shared" si="21"/>
        <v>1990/12/18</v>
      </c>
      <c r="I287" s="149" t="s">
        <v>295</v>
      </c>
      <c r="J287" s="149" t="s">
        <v>3750</v>
      </c>
      <c r="K287" s="101" t="str">
        <f t="shared" si="22"/>
        <v>90</v>
      </c>
      <c r="L287" s="101" t="str">
        <f t="shared" si="23"/>
        <v>12</v>
      </c>
      <c r="M287" s="101" t="str">
        <f t="shared" si="24"/>
        <v>18</v>
      </c>
    </row>
    <row r="288" spans="1:13">
      <c r="A288" t="str">
        <f t="shared" si="20"/>
        <v>広島大学2287男</v>
      </c>
      <c r="B288" s="149" t="s">
        <v>1364</v>
      </c>
      <c r="C288" s="149">
        <v>2287</v>
      </c>
      <c r="D288" s="149" t="s">
        <v>1533</v>
      </c>
      <c r="E288" s="149" t="s">
        <v>1534</v>
      </c>
      <c r="F288" s="149" t="s">
        <v>3624</v>
      </c>
      <c r="G288" s="149" t="s">
        <v>143</v>
      </c>
      <c r="H288" s="151" t="str">
        <f t="shared" si="21"/>
        <v>1993/03/24</v>
      </c>
      <c r="I288" s="149" t="s">
        <v>295</v>
      </c>
      <c r="J288" s="149" t="s">
        <v>626</v>
      </c>
      <c r="K288" s="101" t="str">
        <f t="shared" si="22"/>
        <v>93</v>
      </c>
      <c r="L288" s="101" t="str">
        <f t="shared" si="23"/>
        <v>03</v>
      </c>
      <c r="M288" s="101" t="str">
        <f t="shared" si="24"/>
        <v>24</v>
      </c>
    </row>
    <row r="289" spans="1:13">
      <c r="A289" t="str">
        <f t="shared" si="20"/>
        <v>広島大学2288男</v>
      </c>
      <c r="B289" s="149" t="s">
        <v>1364</v>
      </c>
      <c r="C289" s="149">
        <v>2288</v>
      </c>
      <c r="D289" s="149" t="s">
        <v>1535</v>
      </c>
      <c r="E289" s="149" t="s">
        <v>292</v>
      </c>
      <c r="F289" s="149" t="s">
        <v>3625</v>
      </c>
      <c r="G289" s="149" t="s">
        <v>143</v>
      </c>
      <c r="H289" s="151" t="str">
        <f t="shared" si="21"/>
        <v>1990/11/21</v>
      </c>
      <c r="I289" s="149" t="s">
        <v>295</v>
      </c>
      <c r="J289" s="149" t="s">
        <v>3751</v>
      </c>
      <c r="K289" s="101" t="str">
        <f t="shared" si="22"/>
        <v>90</v>
      </c>
      <c r="L289" s="101" t="str">
        <f t="shared" si="23"/>
        <v>11</v>
      </c>
      <c r="M289" s="101" t="str">
        <f t="shared" si="24"/>
        <v>21</v>
      </c>
    </row>
    <row r="290" spans="1:13">
      <c r="A290" t="str">
        <f t="shared" si="20"/>
        <v>広島大学2289男</v>
      </c>
      <c r="B290" s="149" t="s">
        <v>1364</v>
      </c>
      <c r="C290" s="149">
        <v>2289</v>
      </c>
      <c r="D290" s="149" t="s">
        <v>1536</v>
      </c>
      <c r="E290" s="149" t="s">
        <v>1537</v>
      </c>
      <c r="F290" s="149" t="s">
        <v>3625</v>
      </c>
      <c r="G290" s="149" t="s">
        <v>143</v>
      </c>
      <c r="H290" s="151" t="str">
        <f t="shared" si="21"/>
        <v>1992/01/26</v>
      </c>
      <c r="I290" s="149" t="s">
        <v>295</v>
      </c>
      <c r="J290" s="149" t="s">
        <v>3714</v>
      </c>
      <c r="K290" s="101" t="str">
        <f t="shared" si="22"/>
        <v>92</v>
      </c>
      <c r="L290" s="101" t="str">
        <f t="shared" si="23"/>
        <v>01</v>
      </c>
      <c r="M290" s="101" t="str">
        <f t="shared" si="24"/>
        <v>26</v>
      </c>
    </row>
    <row r="291" spans="1:13">
      <c r="A291" t="str">
        <f t="shared" si="20"/>
        <v>広島大学2290男</v>
      </c>
      <c r="B291" s="149" t="s">
        <v>1364</v>
      </c>
      <c r="C291" s="149">
        <v>2290</v>
      </c>
      <c r="D291" s="149" t="s">
        <v>1538</v>
      </c>
      <c r="E291" s="149" t="s">
        <v>1539</v>
      </c>
      <c r="F291" s="149" t="s">
        <v>3625</v>
      </c>
      <c r="G291" s="149" t="s">
        <v>143</v>
      </c>
      <c r="H291" s="151" t="str">
        <f t="shared" si="21"/>
        <v>1991/07/17</v>
      </c>
      <c r="I291" s="149" t="s">
        <v>295</v>
      </c>
      <c r="J291" s="149" t="s">
        <v>3752</v>
      </c>
      <c r="K291" s="101" t="str">
        <f t="shared" si="22"/>
        <v>91</v>
      </c>
      <c r="L291" s="101" t="str">
        <f t="shared" si="23"/>
        <v>07</v>
      </c>
      <c r="M291" s="101" t="str">
        <f t="shared" si="24"/>
        <v>17</v>
      </c>
    </row>
    <row r="292" spans="1:13">
      <c r="A292" t="str">
        <f t="shared" si="20"/>
        <v>広島大学2291男</v>
      </c>
      <c r="B292" s="149" t="s">
        <v>1364</v>
      </c>
      <c r="C292" s="149">
        <v>2291</v>
      </c>
      <c r="D292" s="149" t="s">
        <v>1540</v>
      </c>
      <c r="E292" s="149" t="s">
        <v>1541</v>
      </c>
      <c r="F292" s="149" t="s">
        <v>3626</v>
      </c>
      <c r="G292" s="149" t="s">
        <v>143</v>
      </c>
      <c r="H292" s="151" t="str">
        <f t="shared" si="21"/>
        <v>1994/03/09</v>
      </c>
      <c r="I292" s="149" t="s">
        <v>295</v>
      </c>
      <c r="J292" s="149" t="s">
        <v>3753</v>
      </c>
      <c r="K292" s="101" t="str">
        <f t="shared" si="22"/>
        <v>94</v>
      </c>
      <c r="L292" s="101" t="str">
        <f t="shared" si="23"/>
        <v>03</v>
      </c>
      <c r="M292" s="101" t="str">
        <f t="shared" si="24"/>
        <v>09</v>
      </c>
    </row>
    <row r="293" spans="1:13">
      <c r="A293" t="str">
        <f t="shared" si="20"/>
        <v>広島大学2292男</v>
      </c>
      <c r="B293" s="149" t="s">
        <v>1364</v>
      </c>
      <c r="C293" s="149">
        <v>2292</v>
      </c>
      <c r="D293" s="149" t="s">
        <v>1542</v>
      </c>
      <c r="E293" s="149" t="s">
        <v>1543</v>
      </c>
      <c r="F293" s="149" t="s">
        <v>3626</v>
      </c>
      <c r="G293" s="149" t="s">
        <v>143</v>
      </c>
      <c r="H293" s="151" t="str">
        <f t="shared" si="21"/>
        <v>1994/02/03</v>
      </c>
      <c r="I293" s="149" t="s">
        <v>295</v>
      </c>
      <c r="J293" s="149" t="s">
        <v>3754</v>
      </c>
      <c r="K293" s="101" t="str">
        <f t="shared" si="22"/>
        <v>94</v>
      </c>
      <c r="L293" s="101" t="str">
        <f t="shared" si="23"/>
        <v>02</v>
      </c>
      <c r="M293" s="101" t="str">
        <f t="shared" si="24"/>
        <v>03</v>
      </c>
    </row>
    <row r="294" spans="1:13">
      <c r="A294" t="str">
        <f t="shared" si="20"/>
        <v>広島大学2293男</v>
      </c>
      <c r="B294" s="149" t="s">
        <v>1364</v>
      </c>
      <c r="C294" s="149">
        <v>2293</v>
      </c>
      <c r="D294" s="149" t="s">
        <v>1544</v>
      </c>
      <c r="E294" s="149" t="s">
        <v>1545</v>
      </c>
      <c r="F294" s="149" t="s">
        <v>3626</v>
      </c>
      <c r="G294" s="149" t="s">
        <v>143</v>
      </c>
      <c r="H294" s="151" t="str">
        <f t="shared" si="21"/>
        <v>1991/04/09</v>
      </c>
      <c r="I294" s="149" t="s">
        <v>295</v>
      </c>
      <c r="J294" s="149" t="s">
        <v>3755</v>
      </c>
      <c r="K294" s="101" t="str">
        <f t="shared" si="22"/>
        <v>91</v>
      </c>
      <c r="L294" s="101" t="str">
        <f t="shared" si="23"/>
        <v>04</v>
      </c>
      <c r="M294" s="101" t="str">
        <f t="shared" si="24"/>
        <v>09</v>
      </c>
    </row>
    <row r="295" spans="1:13">
      <c r="A295" t="str">
        <f t="shared" si="20"/>
        <v>広島大学2294男</v>
      </c>
      <c r="B295" s="149" t="s">
        <v>1364</v>
      </c>
      <c r="C295" s="149">
        <v>2294</v>
      </c>
      <c r="D295" s="149" t="s">
        <v>1546</v>
      </c>
      <c r="E295" s="149" t="s">
        <v>1547</v>
      </c>
      <c r="F295" s="149" t="s">
        <v>3626</v>
      </c>
      <c r="G295" s="149" t="s">
        <v>143</v>
      </c>
      <c r="H295" s="151" t="str">
        <f t="shared" si="21"/>
        <v>1992/06/19</v>
      </c>
      <c r="I295" s="149" t="s">
        <v>295</v>
      </c>
      <c r="J295" s="149" t="s">
        <v>3756</v>
      </c>
      <c r="K295" s="101" t="str">
        <f t="shared" si="22"/>
        <v>92</v>
      </c>
      <c r="L295" s="101" t="str">
        <f t="shared" si="23"/>
        <v>06</v>
      </c>
      <c r="M295" s="101" t="str">
        <f t="shared" si="24"/>
        <v>19</v>
      </c>
    </row>
    <row r="296" spans="1:13">
      <c r="A296" t="str">
        <f t="shared" si="20"/>
        <v>広島大学2295男</v>
      </c>
      <c r="B296" s="149" t="s">
        <v>1364</v>
      </c>
      <c r="C296" s="149">
        <v>2295</v>
      </c>
      <c r="D296" s="149" t="s">
        <v>1548</v>
      </c>
      <c r="E296" s="149" t="s">
        <v>1549</v>
      </c>
      <c r="F296" s="149" t="s">
        <v>3626</v>
      </c>
      <c r="G296" s="149" t="s">
        <v>143</v>
      </c>
      <c r="H296" s="151" t="str">
        <f t="shared" si="21"/>
        <v>1993/05/23</v>
      </c>
      <c r="I296" s="149" t="s">
        <v>295</v>
      </c>
      <c r="J296" s="149" t="s">
        <v>575</v>
      </c>
      <c r="K296" s="101" t="str">
        <f t="shared" si="22"/>
        <v>93</v>
      </c>
      <c r="L296" s="101" t="str">
        <f t="shared" si="23"/>
        <v>05</v>
      </c>
      <c r="M296" s="101" t="str">
        <f t="shared" si="24"/>
        <v>23</v>
      </c>
    </row>
    <row r="297" spans="1:13">
      <c r="A297" t="str">
        <f t="shared" si="20"/>
        <v>広島大学2296男</v>
      </c>
      <c r="B297" s="149" t="s">
        <v>1364</v>
      </c>
      <c r="C297" s="149">
        <v>2296</v>
      </c>
      <c r="D297" s="149" t="s">
        <v>1550</v>
      </c>
      <c r="E297" s="149" t="s">
        <v>1551</v>
      </c>
      <c r="F297" s="149" t="s">
        <v>3627</v>
      </c>
      <c r="G297" s="149" t="s">
        <v>143</v>
      </c>
      <c r="H297" s="151" t="str">
        <f t="shared" si="21"/>
        <v>1993/07/12</v>
      </c>
      <c r="I297" s="149" t="s">
        <v>295</v>
      </c>
      <c r="J297" s="149" t="s">
        <v>3757</v>
      </c>
      <c r="K297" s="101" t="str">
        <f t="shared" si="22"/>
        <v>93</v>
      </c>
      <c r="L297" s="101" t="str">
        <f t="shared" si="23"/>
        <v>07</v>
      </c>
      <c r="M297" s="101" t="str">
        <f t="shared" si="24"/>
        <v>12</v>
      </c>
    </row>
    <row r="298" spans="1:13">
      <c r="A298" t="str">
        <f t="shared" si="20"/>
        <v>広島大学2297男</v>
      </c>
      <c r="B298" s="149" t="s">
        <v>1364</v>
      </c>
      <c r="C298" s="149">
        <v>2297</v>
      </c>
      <c r="D298" s="149" t="s">
        <v>1552</v>
      </c>
      <c r="E298" s="149" t="s">
        <v>1553</v>
      </c>
      <c r="F298" s="149" t="s">
        <v>3627</v>
      </c>
      <c r="G298" s="149" t="s">
        <v>143</v>
      </c>
      <c r="H298" s="151" t="str">
        <f t="shared" si="21"/>
        <v>1994/07/01</v>
      </c>
      <c r="I298" s="149" t="s">
        <v>295</v>
      </c>
      <c r="J298" s="149" t="s">
        <v>379</v>
      </c>
      <c r="K298" s="101" t="str">
        <f t="shared" si="22"/>
        <v>94</v>
      </c>
      <c r="L298" s="101" t="str">
        <f t="shared" si="23"/>
        <v>07</v>
      </c>
      <c r="M298" s="101" t="str">
        <f t="shared" si="24"/>
        <v>01</v>
      </c>
    </row>
    <row r="299" spans="1:13">
      <c r="A299" t="str">
        <f t="shared" si="20"/>
        <v>広島大学2298男</v>
      </c>
      <c r="B299" s="149" t="s">
        <v>1364</v>
      </c>
      <c r="C299" s="149">
        <v>2298</v>
      </c>
      <c r="D299" s="149" t="s">
        <v>1554</v>
      </c>
      <c r="E299" s="149" t="s">
        <v>1555</v>
      </c>
      <c r="F299" s="149" t="s">
        <v>3627</v>
      </c>
      <c r="G299" s="149" t="s">
        <v>143</v>
      </c>
      <c r="H299" s="151" t="str">
        <f t="shared" si="21"/>
        <v>1993/04/30</v>
      </c>
      <c r="I299" s="149" t="s">
        <v>295</v>
      </c>
      <c r="J299" s="149" t="s">
        <v>795</v>
      </c>
      <c r="K299" s="101" t="str">
        <f t="shared" si="22"/>
        <v>93</v>
      </c>
      <c r="L299" s="101" t="str">
        <f t="shared" si="23"/>
        <v>04</v>
      </c>
      <c r="M299" s="101" t="str">
        <f t="shared" si="24"/>
        <v>30</v>
      </c>
    </row>
    <row r="300" spans="1:13">
      <c r="A300" t="str">
        <f t="shared" si="20"/>
        <v>広島大学2299男</v>
      </c>
      <c r="B300" s="149" t="s">
        <v>1364</v>
      </c>
      <c r="C300" s="149">
        <v>2299</v>
      </c>
      <c r="D300" s="149" t="s">
        <v>1556</v>
      </c>
      <c r="E300" s="149" t="s">
        <v>1557</v>
      </c>
      <c r="F300" s="149" t="s">
        <v>3627</v>
      </c>
      <c r="G300" s="149" t="s">
        <v>143</v>
      </c>
      <c r="H300" s="151" t="str">
        <f t="shared" si="21"/>
        <v>1994/06/27</v>
      </c>
      <c r="I300" s="149" t="s">
        <v>295</v>
      </c>
      <c r="J300" s="149" t="s">
        <v>346</v>
      </c>
      <c r="K300" s="101" t="str">
        <f t="shared" si="22"/>
        <v>94</v>
      </c>
      <c r="L300" s="101" t="str">
        <f t="shared" si="23"/>
        <v>06</v>
      </c>
      <c r="M300" s="101" t="str">
        <f t="shared" si="24"/>
        <v>27</v>
      </c>
    </row>
    <row r="301" spans="1:13">
      <c r="A301" t="str">
        <f t="shared" si="20"/>
        <v>広島大学2300男</v>
      </c>
      <c r="B301" s="149" t="s">
        <v>1364</v>
      </c>
      <c r="C301" s="149">
        <v>2300</v>
      </c>
      <c r="D301" s="149" t="s">
        <v>1558</v>
      </c>
      <c r="E301" s="149" t="s">
        <v>1559</v>
      </c>
      <c r="F301" s="149" t="s">
        <v>3627</v>
      </c>
      <c r="G301" s="149" t="s">
        <v>143</v>
      </c>
      <c r="H301" s="151" t="str">
        <f t="shared" si="21"/>
        <v>1994/10/27</v>
      </c>
      <c r="I301" s="149" t="s">
        <v>295</v>
      </c>
      <c r="J301" s="149" t="s">
        <v>3758</v>
      </c>
      <c r="K301" s="101" t="str">
        <f t="shared" si="22"/>
        <v>94</v>
      </c>
      <c r="L301" s="101" t="str">
        <f t="shared" si="23"/>
        <v>10</v>
      </c>
      <c r="M301" s="101" t="str">
        <f t="shared" si="24"/>
        <v>27</v>
      </c>
    </row>
    <row r="302" spans="1:13">
      <c r="A302" t="str">
        <f t="shared" si="20"/>
        <v>広島大学2301男</v>
      </c>
      <c r="B302" s="149" t="s">
        <v>1364</v>
      </c>
      <c r="C302" s="149">
        <v>2301</v>
      </c>
      <c r="D302" s="149" t="s">
        <v>1560</v>
      </c>
      <c r="E302" s="149" t="s">
        <v>1561</v>
      </c>
      <c r="F302" s="149" t="s">
        <v>3627</v>
      </c>
      <c r="G302" s="149" t="s">
        <v>143</v>
      </c>
      <c r="H302" s="151" t="str">
        <f t="shared" si="21"/>
        <v>1993/11/26</v>
      </c>
      <c r="I302" s="149" t="s">
        <v>295</v>
      </c>
      <c r="J302" s="149" t="s">
        <v>3759</v>
      </c>
      <c r="K302" s="101" t="str">
        <f t="shared" si="22"/>
        <v>93</v>
      </c>
      <c r="L302" s="101" t="str">
        <f t="shared" si="23"/>
        <v>11</v>
      </c>
      <c r="M302" s="101" t="str">
        <f t="shared" si="24"/>
        <v>26</v>
      </c>
    </row>
    <row r="303" spans="1:13">
      <c r="A303" t="str">
        <f t="shared" si="20"/>
        <v>広島大学2302男</v>
      </c>
      <c r="B303" s="149" t="s">
        <v>1364</v>
      </c>
      <c r="C303" s="149">
        <v>2302</v>
      </c>
      <c r="D303" s="149" t="s">
        <v>1562</v>
      </c>
      <c r="E303" s="149" t="s">
        <v>1563</v>
      </c>
      <c r="F303" s="149" t="s">
        <v>3627</v>
      </c>
      <c r="G303" s="149" t="s">
        <v>143</v>
      </c>
      <c r="H303" s="151" t="str">
        <f t="shared" si="21"/>
        <v>1994/11/02</v>
      </c>
      <c r="I303" s="149" t="s">
        <v>277</v>
      </c>
      <c r="J303" s="149" t="s">
        <v>479</v>
      </c>
      <c r="K303" s="101" t="str">
        <f t="shared" si="22"/>
        <v>94</v>
      </c>
      <c r="L303" s="101" t="str">
        <f t="shared" si="23"/>
        <v>11</v>
      </c>
      <c r="M303" s="101" t="str">
        <f t="shared" si="24"/>
        <v>02</v>
      </c>
    </row>
    <row r="304" spans="1:13">
      <c r="A304" t="str">
        <f t="shared" si="20"/>
        <v>広島大学2303男</v>
      </c>
      <c r="B304" s="149" t="s">
        <v>1364</v>
      </c>
      <c r="C304" s="149">
        <v>2303</v>
      </c>
      <c r="D304" s="149" t="s">
        <v>1564</v>
      </c>
      <c r="E304" s="149" t="s">
        <v>1565</v>
      </c>
      <c r="F304" s="149" t="s">
        <v>3627</v>
      </c>
      <c r="G304" s="149" t="s">
        <v>143</v>
      </c>
      <c r="H304" s="151" t="str">
        <f t="shared" si="21"/>
        <v>1993/09/10</v>
      </c>
      <c r="I304" s="149" t="s">
        <v>295</v>
      </c>
      <c r="J304" s="149" t="s">
        <v>3760</v>
      </c>
      <c r="K304" s="101" t="str">
        <f t="shared" si="22"/>
        <v>93</v>
      </c>
      <c r="L304" s="101" t="str">
        <f t="shared" si="23"/>
        <v>09</v>
      </c>
      <c r="M304" s="101" t="str">
        <f t="shared" si="24"/>
        <v>10</v>
      </c>
    </row>
    <row r="305" spans="1:13">
      <c r="A305" t="str">
        <f t="shared" si="20"/>
        <v>広島大学2304男</v>
      </c>
      <c r="B305" s="149" t="s">
        <v>1364</v>
      </c>
      <c r="C305" s="149">
        <v>2304</v>
      </c>
      <c r="D305" s="149" t="s">
        <v>1566</v>
      </c>
      <c r="E305" s="149" t="s">
        <v>1567</v>
      </c>
      <c r="F305" s="149" t="s">
        <v>3627</v>
      </c>
      <c r="G305" s="149" t="s">
        <v>143</v>
      </c>
      <c r="H305" s="151" t="str">
        <f t="shared" si="21"/>
        <v>1993/10/02</v>
      </c>
      <c r="I305" s="149" t="s">
        <v>295</v>
      </c>
      <c r="J305" s="149" t="s">
        <v>831</v>
      </c>
      <c r="K305" s="101" t="str">
        <f t="shared" si="22"/>
        <v>93</v>
      </c>
      <c r="L305" s="101" t="str">
        <f t="shared" si="23"/>
        <v>10</v>
      </c>
      <c r="M305" s="101" t="str">
        <f t="shared" si="24"/>
        <v>02</v>
      </c>
    </row>
    <row r="306" spans="1:13">
      <c r="A306" t="str">
        <f t="shared" si="20"/>
        <v>広島大学2305男</v>
      </c>
      <c r="B306" s="149" t="s">
        <v>1364</v>
      </c>
      <c r="C306" s="149">
        <v>2305</v>
      </c>
      <c r="D306" s="149" t="s">
        <v>1568</v>
      </c>
      <c r="E306" s="149" t="s">
        <v>1569</v>
      </c>
      <c r="F306" s="149" t="s">
        <v>3627</v>
      </c>
      <c r="G306" s="149" t="s">
        <v>143</v>
      </c>
      <c r="H306" s="151" t="str">
        <f t="shared" si="21"/>
        <v>1994/02/06</v>
      </c>
      <c r="I306" s="149" t="s">
        <v>295</v>
      </c>
      <c r="J306" s="149" t="s">
        <v>915</v>
      </c>
      <c r="K306" s="101" t="str">
        <f t="shared" si="22"/>
        <v>94</v>
      </c>
      <c r="L306" s="101" t="str">
        <f t="shared" si="23"/>
        <v>02</v>
      </c>
      <c r="M306" s="101" t="str">
        <f t="shared" si="24"/>
        <v>06</v>
      </c>
    </row>
    <row r="307" spans="1:13">
      <c r="A307" t="str">
        <f t="shared" si="20"/>
        <v>広島大学2306男</v>
      </c>
      <c r="B307" s="149" t="s">
        <v>1364</v>
      </c>
      <c r="C307" s="149">
        <v>2306</v>
      </c>
      <c r="D307" s="149" t="s">
        <v>1570</v>
      </c>
      <c r="E307" s="149" t="s">
        <v>1571</v>
      </c>
      <c r="F307" s="149" t="s">
        <v>3627</v>
      </c>
      <c r="G307" s="149" t="s">
        <v>143</v>
      </c>
      <c r="H307" s="151" t="str">
        <f t="shared" si="21"/>
        <v>1993/07/21</v>
      </c>
      <c r="I307" s="149" t="s">
        <v>295</v>
      </c>
      <c r="J307" s="149" t="s">
        <v>3651</v>
      </c>
      <c r="K307" s="101" t="str">
        <f t="shared" si="22"/>
        <v>93</v>
      </c>
      <c r="L307" s="101" t="str">
        <f t="shared" si="23"/>
        <v>07</v>
      </c>
      <c r="M307" s="101" t="str">
        <f t="shared" si="24"/>
        <v>21</v>
      </c>
    </row>
    <row r="308" spans="1:13">
      <c r="A308" t="str">
        <f t="shared" si="20"/>
        <v>広島大学2307男</v>
      </c>
      <c r="B308" s="149" t="s">
        <v>1364</v>
      </c>
      <c r="C308" s="149">
        <v>2307</v>
      </c>
      <c r="D308" s="149" t="s">
        <v>1572</v>
      </c>
      <c r="E308" s="149" t="s">
        <v>1573</v>
      </c>
      <c r="F308" s="149" t="s">
        <v>3628</v>
      </c>
      <c r="G308" s="149" t="s">
        <v>143</v>
      </c>
      <c r="H308" s="151" t="str">
        <f t="shared" si="21"/>
        <v>1994/10/06</v>
      </c>
      <c r="I308" s="149" t="s">
        <v>295</v>
      </c>
      <c r="J308" s="149" t="s">
        <v>818</v>
      </c>
      <c r="K308" s="101" t="str">
        <f t="shared" si="22"/>
        <v>94</v>
      </c>
      <c r="L308" s="101" t="str">
        <f t="shared" si="23"/>
        <v>10</v>
      </c>
      <c r="M308" s="101" t="str">
        <f t="shared" si="24"/>
        <v>06</v>
      </c>
    </row>
    <row r="309" spans="1:13">
      <c r="A309" t="str">
        <f t="shared" si="20"/>
        <v>広島大学2308男</v>
      </c>
      <c r="B309" s="149" t="s">
        <v>1364</v>
      </c>
      <c r="C309" s="149">
        <v>2308</v>
      </c>
      <c r="D309" s="149" t="s">
        <v>1574</v>
      </c>
      <c r="E309" s="149" t="s">
        <v>284</v>
      </c>
      <c r="F309" s="149" t="s">
        <v>3628</v>
      </c>
      <c r="G309" s="149" t="s">
        <v>143</v>
      </c>
      <c r="H309" s="151" t="str">
        <f t="shared" si="21"/>
        <v>1995/06/07</v>
      </c>
      <c r="I309" s="149" t="s">
        <v>295</v>
      </c>
      <c r="J309" s="149" t="s">
        <v>502</v>
      </c>
      <c r="K309" s="101" t="str">
        <f t="shared" si="22"/>
        <v>95</v>
      </c>
      <c r="L309" s="101" t="str">
        <f t="shared" si="23"/>
        <v>06</v>
      </c>
      <c r="M309" s="101" t="str">
        <f t="shared" si="24"/>
        <v>07</v>
      </c>
    </row>
    <row r="310" spans="1:13">
      <c r="A310" t="str">
        <f t="shared" si="20"/>
        <v>広島大学2309男</v>
      </c>
      <c r="B310" s="149" t="s">
        <v>1364</v>
      </c>
      <c r="C310" s="149">
        <v>2309</v>
      </c>
      <c r="D310" s="149" t="s">
        <v>1575</v>
      </c>
      <c r="E310" s="149" t="s">
        <v>1576</v>
      </c>
      <c r="F310" s="149" t="s">
        <v>3628</v>
      </c>
      <c r="G310" s="149" t="s">
        <v>143</v>
      </c>
      <c r="H310" s="151" t="str">
        <f t="shared" si="21"/>
        <v>1996/02/13</v>
      </c>
      <c r="I310" s="149" t="s">
        <v>295</v>
      </c>
      <c r="J310" s="149" t="s">
        <v>830</v>
      </c>
      <c r="K310" s="101" t="str">
        <f t="shared" si="22"/>
        <v>96</v>
      </c>
      <c r="L310" s="101" t="str">
        <f t="shared" si="23"/>
        <v>02</v>
      </c>
      <c r="M310" s="101" t="str">
        <f t="shared" si="24"/>
        <v>13</v>
      </c>
    </row>
    <row r="311" spans="1:13">
      <c r="A311" t="str">
        <f t="shared" si="20"/>
        <v>広島大学2310男</v>
      </c>
      <c r="B311" s="149" t="s">
        <v>1364</v>
      </c>
      <c r="C311" s="149">
        <v>2310</v>
      </c>
      <c r="D311" s="149" t="s">
        <v>1577</v>
      </c>
      <c r="E311" s="149" t="s">
        <v>1578</v>
      </c>
      <c r="F311" s="149" t="s">
        <v>3628</v>
      </c>
      <c r="G311" s="149" t="s">
        <v>143</v>
      </c>
      <c r="H311" s="151" t="str">
        <f t="shared" si="21"/>
        <v>1993/08/13</v>
      </c>
      <c r="I311" s="149" t="s">
        <v>295</v>
      </c>
      <c r="J311" s="149" t="s">
        <v>371</v>
      </c>
      <c r="K311" s="101" t="str">
        <f t="shared" si="22"/>
        <v>93</v>
      </c>
      <c r="L311" s="101" t="str">
        <f t="shared" si="23"/>
        <v>08</v>
      </c>
      <c r="M311" s="101" t="str">
        <f t="shared" si="24"/>
        <v>13</v>
      </c>
    </row>
    <row r="312" spans="1:13">
      <c r="A312" t="str">
        <f t="shared" si="20"/>
        <v>広島大学2311男</v>
      </c>
      <c r="B312" s="149" t="s">
        <v>1364</v>
      </c>
      <c r="C312" s="149">
        <v>2311</v>
      </c>
      <c r="D312" s="149" t="s">
        <v>1579</v>
      </c>
      <c r="E312" s="149" t="s">
        <v>1580</v>
      </c>
      <c r="F312" s="149" t="s">
        <v>3628</v>
      </c>
      <c r="G312" s="149" t="s">
        <v>143</v>
      </c>
      <c r="H312" s="151" t="str">
        <f t="shared" si="21"/>
        <v>1995/04/08</v>
      </c>
      <c r="I312" s="149" t="s">
        <v>295</v>
      </c>
      <c r="J312" s="149" t="s">
        <v>381</v>
      </c>
      <c r="K312" s="101" t="str">
        <f t="shared" si="22"/>
        <v>95</v>
      </c>
      <c r="L312" s="101" t="str">
        <f t="shared" si="23"/>
        <v>04</v>
      </c>
      <c r="M312" s="101" t="str">
        <f t="shared" si="24"/>
        <v>08</v>
      </c>
    </row>
    <row r="313" spans="1:13">
      <c r="A313" t="str">
        <f t="shared" si="20"/>
        <v>広島商船高等専門学校2312男</v>
      </c>
      <c r="B313" s="149" t="s">
        <v>1581</v>
      </c>
      <c r="C313" s="149">
        <v>2312</v>
      </c>
      <c r="D313" s="149" t="s">
        <v>1582</v>
      </c>
      <c r="E313" s="149" t="s">
        <v>1583</v>
      </c>
      <c r="F313" s="149" t="s">
        <v>293</v>
      </c>
      <c r="G313" s="149" t="s">
        <v>143</v>
      </c>
      <c r="H313" s="151" t="str">
        <f t="shared" si="21"/>
        <v>1995/11/14</v>
      </c>
      <c r="I313" s="149" t="s">
        <v>295</v>
      </c>
      <c r="J313" s="149" t="s">
        <v>3761</v>
      </c>
      <c r="K313" s="101" t="str">
        <f t="shared" si="22"/>
        <v>95</v>
      </c>
      <c r="L313" s="101" t="str">
        <f t="shared" si="23"/>
        <v>11</v>
      </c>
      <c r="M313" s="101" t="str">
        <f t="shared" si="24"/>
        <v>14</v>
      </c>
    </row>
    <row r="314" spans="1:13">
      <c r="A314" t="str">
        <f t="shared" si="20"/>
        <v>広島商船高等専門学校2313男</v>
      </c>
      <c r="B314" s="149" t="s">
        <v>1581</v>
      </c>
      <c r="C314" s="149">
        <v>2313</v>
      </c>
      <c r="D314" s="149" t="s">
        <v>1584</v>
      </c>
      <c r="E314" s="149" t="s">
        <v>1585</v>
      </c>
      <c r="F314" s="149" t="s">
        <v>293</v>
      </c>
      <c r="G314" s="149" t="s">
        <v>143</v>
      </c>
      <c r="H314" s="151" t="str">
        <f t="shared" si="21"/>
        <v>1995/12/08</v>
      </c>
      <c r="I314" s="149" t="s">
        <v>295</v>
      </c>
      <c r="J314" s="149" t="s">
        <v>871</v>
      </c>
      <c r="K314" s="101" t="str">
        <f t="shared" si="22"/>
        <v>95</v>
      </c>
      <c r="L314" s="101" t="str">
        <f t="shared" si="23"/>
        <v>12</v>
      </c>
      <c r="M314" s="101" t="str">
        <f t="shared" si="24"/>
        <v>08</v>
      </c>
    </row>
    <row r="315" spans="1:13">
      <c r="A315" t="str">
        <f t="shared" si="20"/>
        <v>広島商船高等専門学校2314男</v>
      </c>
      <c r="B315" s="149" t="s">
        <v>1581</v>
      </c>
      <c r="C315" s="149">
        <v>2314</v>
      </c>
      <c r="D315" s="149" t="s">
        <v>1586</v>
      </c>
      <c r="E315" s="149" t="s">
        <v>1587</v>
      </c>
      <c r="F315" s="149" t="s">
        <v>293</v>
      </c>
      <c r="G315" s="149" t="s">
        <v>143</v>
      </c>
      <c r="H315" s="151" t="str">
        <f t="shared" si="21"/>
        <v>1995/06/27</v>
      </c>
      <c r="I315" s="149" t="s">
        <v>295</v>
      </c>
      <c r="J315" s="149" t="s">
        <v>3762</v>
      </c>
      <c r="K315" s="101" t="str">
        <f t="shared" si="22"/>
        <v>95</v>
      </c>
      <c r="L315" s="101" t="str">
        <f t="shared" si="23"/>
        <v>06</v>
      </c>
      <c r="M315" s="101" t="str">
        <f t="shared" si="24"/>
        <v>27</v>
      </c>
    </row>
    <row r="316" spans="1:13">
      <c r="A316" t="str">
        <f t="shared" si="20"/>
        <v>広島商船高等専門学校2315男</v>
      </c>
      <c r="B316" s="149" t="s">
        <v>1581</v>
      </c>
      <c r="C316" s="149">
        <v>2315</v>
      </c>
      <c r="D316" s="149" t="s">
        <v>1588</v>
      </c>
      <c r="E316" s="149" t="s">
        <v>1589</v>
      </c>
      <c r="F316" s="149" t="s">
        <v>293</v>
      </c>
      <c r="G316" s="149" t="s">
        <v>143</v>
      </c>
      <c r="H316" s="151" t="str">
        <f t="shared" si="21"/>
        <v>1996/01/03</v>
      </c>
      <c r="I316" s="149" t="s">
        <v>295</v>
      </c>
      <c r="J316" s="149" t="s">
        <v>850</v>
      </c>
      <c r="K316" s="101" t="str">
        <f t="shared" si="22"/>
        <v>96</v>
      </c>
      <c r="L316" s="101" t="str">
        <f t="shared" si="23"/>
        <v>01</v>
      </c>
      <c r="M316" s="101" t="str">
        <f t="shared" si="24"/>
        <v>03</v>
      </c>
    </row>
    <row r="317" spans="1:13">
      <c r="A317" t="str">
        <f t="shared" si="20"/>
        <v>広島商船高等専門学校2316男</v>
      </c>
      <c r="B317" s="149" t="s">
        <v>1581</v>
      </c>
      <c r="C317" s="149">
        <v>2316</v>
      </c>
      <c r="D317" s="149" t="s">
        <v>1590</v>
      </c>
      <c r="E317" s="149" t="s">
        <v>1591</v>
      </c>
      <c r="F317" s="149" t="s">
        <v>293</v>
      </c>
      <c r="G317" s="149" t="s">
        <v>143</v>
      </c>
      <c r="H317" s="151" t="str">
        <f t="shared" si="21"/>
        <v>1995/10/21</v>
      </c>
      <c r="I317" s="149" t="s">
        <v>295</v>
      </c>
      <c r="J317" s="149" t="s">
        <v>817</v>
      </c>
      <c r="K317" s="101" t="str">
        <f t="shared" si="22"/>
        <v>95</v>
      </c>
      <c r="L317" s="101" t="str">
        <f t="shared" si="23"/>
        <v>10</v>
      </c>
      <c r="M317" s="101" t="str">
        <f t="shared" si="24"/>
        <v>21</v>
      </c>
    </row>
    <row r="318" spans="1:13">
      <c r="A318" t="str">
        <f t="shared" si="20"/>
        <v>広島商船高等専門学校2317男</v>
      </c>
      <c r="B318" s="149" t="s">
        <v>1581</v>
      </c>
      <c r="C318" s="149">
        <v>2317</v>
      </c>
      <c r="D318" s="149" t="s">
        <v>1592</v>
      </c>
      <c r="E318" s="149" t="s">
        <v>1593</v>
      </c>
      <c r="F318" s="149" t="s">
        <v>260</v>
      </c>
      <c r="G318" s="149" t="s">
        <v>143</v>
      </c>
      <c r="H318" s="151" t="str">
        <f t="shared" si="21"/>
        <v>1996/08/26</v>
      </c>
      <c r="I318" s="149" t="s">
        <v>295</v>
      </c>
      <c r="J318" s="149" t="s">
        <v>805</v>
      </c>
      <c r="K318" s="101" t="str">
        <f t="shared" si="22"/>
        <v>96</v>
      </c>
      <c r="L318" s="101" t="str">
        <f t="shared" si="23"/>
        <v>08</v>
      </c>
      <c r="M318" s="101" t="str">
        <f t="shared" si="24"/>
        <v>26</v>
      </c>
    </row>
    <row r="319" spans="1:13">
      <c r="A319" t="str">
        <f t="shared" si="20"/>
        <v>広島商船高等専門学校2318男</v>
      </c>
      <c r="B319" s="149" t="s">
        <v>1581</v>
      </c>
      <c r="C319" s="149">
        <v>2318</v>
      </c>
      <c r="D319" s="149" t="s">
        <v>1594</v>
      </c>
      <c r="E319" s="149" t="s">
        <v>1595</v>
      </c>
      <c r="F319" s="149" t="s">
        <v>260</v>
      </c>
      <c r="G319" s="149" t="s">
        <v>143</v>
      </c>
      <c r="H319" s="151" t="str">
        <f t="shared" si="21"/>
        <v>1996/06/24</v>
      </c>
      <c r="I319" s="149" t="s">
        <v>295</v>
      </c>
      <c r="J319" s="149" t="s">
        <v>705</v>
      </c>
      <c r="K319" s="101" t="str">
        <f t="shared" si="22"/>
        <v>96</v>
      </c>
      <c r="L319" s="101" t="str">
        <f t="shared" si="23"/>
        <v>06</v>
      </c>
      <c r="M319" s="101" t="str">
        <f t="shared" si="24"/>
        <v>24</v>
      </c>
    </row>
    <row r="320" spans="1:13">
      <c r="A320" t="str">
        <f t="shared" si="20"/>
        <v>広島商船高等専門学校2319男</v>
      </c>
      <c r="B320" s="149" t="s">
        <v>1581</v>
      </c>
      <c r="C320" s="149">
        <v>2319</v>
      </c>
      <c r="D320" s="149" t="s">
        <v>1596</v>
      </c>
      <c r="E320" s="149" t="s">
        <v>1597</v>
      </c>
      <c r="F320" s="149" t="s">
        <v>260</v>
      </c>
      <c r="G320" s="149" t="s">
        <v>143</v>
      </c>
      <c r="H320" s="151" t="str">
        <f t="shared" si="21"/>
        <v>1996/04/08</v>
      </c>
      <c r="I320" s="149" t="s">
        <v>295</v>
      </c>
      <c r="J320" s="149" t="s">
        <v>710</v>
      </c>
      <c r="K320" s="101" t="str">
        <f t="shared" si="22"/>
        <v>96</v>
      </c>
      <c r="L320" s="101" t="str">
        <f t="shared" si="23"/>
        <v>04</v>
      </c>
      <c r="M320" s="101" t="str">
        <f t="shared" si="24"/>
        <v>08</v>
      </c>
    </row>
    <row r="321" spans="1:13">
      <c r="A321" t="str">
        <f t="shared" si="20"/>
        <v>広島商船高等専門学校2320男</v>
      </c>
      <c r="B321" s="149" t="s">
        <v>1581</v>
      </c>
      <c r="C321" s="149">
        <v>2320</v>
      </c>
      <c r="D321" s="149" t="s">
        <v>1598</v>
      </c>
      <c r="E321" s="149" t="s">
        <v>1599</v>
      </c>
      <c r="F321" s="149" t="s">
        <v>260</v>
      </c>
      <c r="G321" s="149" t="s">
        <v>143</v>
      </c>
      <c r="H321" s="151" t="str">
        <f t="shared" si="21"/>
        <v>1997/03/19</v>
      </c>
      <c r="I321" s="149" t="s">
        <v>295</v>
      </c>
      <c r="J321" s="149" t="s">
        <v>3763</v>
      </c>
      <c r="K321" s="101" t="str">
        <f t="shared" si="22"/>
        <v>97</v>
      </c>
      <c r="L321" s="101" t="str">
        <f t="shared" si="23"/>
        <v>03</v>
      </c>
      <c r="M321" s="101" t="str">
        <f t="shared" si="24"/>
        <v>19</v>
      </c>
    </row>
    <row r="322" spans="1:13">
      <c r="A322" t="str">
        <f t="shared" ref="A322:A385" si="25">B322&amp;C322&amp;G322</f>
        <v>広島経済大学2321男</v>
      </c>
      <c r="B322" s="149" t="s">
        <v>1600</v>
      </c>
      <c r="C322" s="149">
        <v>2321</v>
      </c>
      <c r="D322" s="149" t="s">
        <v>1601</v>
      </c>
      <c r="E322" s="149" t="s">
        <v>1602</v>
      </c>
      <c r="F322" s="149" t="s">
        <v>260</v>
      </c>
      <c r="G322" s="149" t="s">
        <v>143</v>
      </c>
      <c r="H322" s="151" t="str">
        <f t="shared" si="21"/>
        <v>1993/10/19</v>
      </c>
      <c r="I322" s="149" t="s">
        <v>295</v>
      </c>
      <c r="J322" s="149" t="s">
        <v>396</v>
      </c>
      <c r="K322" s="101" t="str">
        <f t="shared" si="22"/>
        <v>93</v>
      </c>
      <c r="L322" s="101" t="str">
        <f t="shared" si="23"/>
        <v>10</v>
      </c>
      <c r="M322" s="101" t="str">
        <f t="shared" si="24"/>
        <v>19</v>
      </c>
    </row>
    <row r="323" spans="1:13">
      <c r="A323" t="str">
        <f t="shared" si="25"/>
        <v>広島経済大学2322男</v>
      </c>
      <c r="B323" s="149" t="s">
        <v>1600</v>
      </c>
      <c r="C323" s="149">
        <v>2322</v>
      </c>
      <c r="D323" s="149" t="s">
        <v>1603</v>
      </c>
      <c r="E323" s="149" t="s">
        <v>1604</v>
      </c>
      <c r="F323" s="149" t="s">
        <v>260</v>
      </c>
      <c r="G323" s="149" t="s">
        <v>143</v>
      </c>
      <c r="H323" s="151" t="str">
        <f t="shared" ref="H323:H386" si="26">"19"&amp;K323&amp;"/"&amp;L323&amp;"/"&amp;M323</f>
        <v>1993/10/19</v>
      </c>
      <c r="I323" s="149" t="s">
        <v>281</v>
      </c>
      <c r="J323" s="149" t="s">
        <v>396</v>
      </c>
      <c r="K323" s="101" t="str">
        <f t="shared" ref="K323:K386" si="27">MID(J323,1,2)</f>
        <v>93</v>
      </c>
      <c r="L323" s="101" t="str">
        <f t="shared" ref="L323:L386" si="28">MID(J323,3,2)</f>
        <v>10</v>
      </c>
      <c r="M323" s="101" t="str">
        <f t="shared" ref="M323:M386" si="29">MID(J323,5,2)</f>
        <v>19</v>
      </c>
    </row>
    <row r="324" spans="1:13">
      <c r="A324" t="str">
        <f t="shared" si="25"/>
        <v>広島経済大学2323男</v>
      </c>
      <c r="B324" s="149" t="s">
        <v>1600</v>
      </c>
      <c r="C324" s="149">
        <v>2323</v>
      </c>
      <c r="D324" s="149" t="s">
        <v>1605</v>
      </c>
      <c r="E324" s="149" t="s">
        <v>1606</v>
      </c>
      <c r="F324" s="149" t="s">
        <v>265</v>
      </c>
      <c r="G324" s="149" t="s">
        <v>143</v>
      </c>
      <c r="H324" s="151" t="str">
        <f t="shared" si="26"/>
        <v>1994/12/14</v>
      </c>
      <c r="I324" s="149" t="s">
        <v>295</v>
      </c>
      <c r="J324" s="149" t="s">
        <v>637</v>
      </c>
      <c r="K324" s="101" t="str">
        <f t="shared" si="27"/>
        <v>94</v>
      </c>
      <c r="L324" s="101" t="str">
        <f t="shared" si="28"/>
        <v>12</v>
      </c>
      <c r="M324" s="101" t="str">
        <f t="shared" si="29"/>
        <v>14</v>
      </c>
    </row>
    <row r="325" spans="1:13">
      <c r="A325" t="str">
        <f t="shared" si="25"/>
        <v>広島経済大学2324男</v>
      </c>
      <c r="B325" s="149" t="s">
        <v>1600</v>
      </c>
      <c r="C325" s="149">
        <v>2324</v>
      </c>
      <c r="D325" s="149" t="s">
        <v>1607</v>
      </c>
      <c r="E325" s="149" t="s">
        <v>1608</v>
      </c>
      <c r="F325" s="149" t="s">
        <v>265</v>
      </c>
      <c r="G325" s="149" t="s">
        <v>143</v>
      </c>
      <c r="H325" s="151" t="str">
        <f t="shared" si="26"/>
        <v>1994/12/16</v>
      </c>
      <c r="I325" s="149" t="s">
        <v>295</v>
      </c>
      <c r="J325" s="149" t="s">
        <v>407</v>
      </c>
      <c r="K325" s="101" t="str">
        <f t="shared" si="27"/>
        <v>94</v>
      </c>
      <c r="L325" s="101" t="str">
        <f t="shared" si="28"/>
        <v>12</v>
      </c>
      <c r="M325" s="101" t="str">
        <f t="shared" si="29"/>
        <v>16</v>
      </c>
    </row>
    <row r="326" spans="1:13">
      <c r="A326" t="str">
        <f t="shared" si="25"/>
        <v>広島経済大学2325男</v>
      </c>
      <c r="B326" s="149" t="s">
        <v>1600</v>
      </c>
      <c r="C326" s="149">
        <v>2325</v>
      </c>
      <c r="D326" s="149" t="s">
        <v>1609</v>
      </c>
      <c r="E326" s="149" t="s">
        <v>1610</v>
      </c>
      <c r="F326" s="149" t="s">
        <v>265</v>
      </c>
      <c r="G326" s="149" t="s">
        <v>143</v>
      </c>
      <c r="H326" s="151" t="str">
        <f t="shared" si="26"/>
        <v>1994/07/05</v>
      </c>
      <c r="I326" s="149" t="s">
        <v>302</v>
      </c>
      <c r="J326" s="149" t="s">
        <v>374</v>
      </c>
      <c r="K326" s="101" t="str">
        <f t="shared" si="27"/>
        <v>94</v>
      </c>
      <c r="L326" s="101" t="str">
        <f t="shared" si="28"/>
        <v>07</v>
      </c>
      <c r="M326" s="101" t="str">
        <f t="shared" si="29"/>
        <v>05</v>
      </c>
    </row>
    <row r="327" spans="1:13">
      <c r="A327" t="str">
        <f t="shared" si="25"/>
        <v>広島経済大学2326男</v>
      </c>
      <c r="B327" s="149" t="s">
        <v>1600</v>
      </c>
      <c r="C327" s="149">
        <v>2326</v>
      </c>
      <c r="D327" s="149" t="s">
        <v>1611</v>
      </c>
      <c r="E327" s="149" t="s">
        <v>1612</v>
      </c>
      <c r="F327" s="149" t="s">
        <v>265</v>
      </c>
      <c r="G327" s="149" t="s">
        <v>143</v>
      </c>
      <c r="H327" s="151" t="str">
        <f t="shared" si="26"/>
        <v>1994/09/13</v>
      </c>
      <c r="I327" s="149" t="s">
        <v>295</v>
      </c>
      <c r="J327" s="149" t="s">
        <v>536</v>
      </c>
      <c r="K327" s="101" t="str">
        <f t="shared" si="27"/>
        <v>94</v>
      </c>
      <c r="L327" s="101" t="str">
        <f t="shared" si="28"/>
        <v>09</v>
      </c>
      <c r="M327" s="101" t="str">
        <f t="shared" si="29"/>
        <v>13</v>
      </c>
    </row>
    <row r="328" spans="1:13">
      <c r="A328" t="str">
        <f t="shared" si="25"/>
        <v>広島経済大学2327男</v>
      </c>
      <c r="B328" s="149" t="s">
        <v>1600</v>
      </c>
      <c r="C328" s="149">
        <v>2327</v>
      </c>
      <c r="D328" s="149" t="s">
        <v>1613</v>
      </c>
      <c r="E328" s="149" t="s">
        <v>1614</v>
      </c>
      <c r="F328" s="149" t="s">
        <v>265</v>
      </c>
      <c r="G328" s="149" t="s">
        <v>143</v>
      </c>
      <c r="H328" s="151" t="str">
        <f t="shared" si="26"/>
        <v>1994/12/26</v>
      </c>
      <c r="I328" s="149" t="s">
        <v>269</v>
      </c>
      <c r="J328" s="149" t="s">
        <v>344</v>
      </c>
      <c r="K328" s="101" t="str">
        <f t="shared" si="27"/>
        <v>94</v>
      </c>
      <c r="L328" s="101" t="str">
        <f t="shared" si="28"/>
        <v>12</v>
      </c>
      <c r="M328" s="101" t="str">
        <f t="shared" si="29"/>
        <v>26</v>
      </c>
    </row>
    <row r="329" spans="1:13">
      <c r="A329" t="str">
        <f t="shared" si="25"/>
        <v>広島経済大学2328男</v>
      </c>
      <c r="B329" s="149" t="s">
        <v>1600</v>
      </c>
      <c r="C329" s="149">
        <v>2328</v>
      </c>
      <c r="D329" s="149" t="s">
        <v>1615</v>
      </c>
      <c r="E329" s="149" t="s">
        <v>1616</v>
      </c>
      <c r="F329" s="149" t="s">
        <v>265</v>
      </c>
      <c r="G329" s="149" t="s">
        <v>143</v>
      </c>
      <c r="H329" s="151" t="str">
        <f t="shared" si="26"/>
        <v>1994/06/05</v>
      </c>
      <c r="I329" s="149" t="s">
        <v>299</v>
      </c>
      <c r="J329" s="149" t="s">
        <v>3739</v>
      </c>
      <c r="K329" s="101" t="str">
        <f t="shared" si="27"/>
        <v>94</v>
      </c>
      <c r="L329" s="101" t="str">
        <f t="shared" si="28"/>
        <v>06</v>
      </c>
      <c r="M329" s="101" t="str">
        <f t="shared" si="29"/>
        <v>05</v>
      </c>
    </row>
    <row r="330" spans="1:13">
      <c r="A330" t="str">
        <f t="shared" si="25"/>
        <v>広島経済大学2329男</v>
      </c>
      <c r="B330" s="149" t="s">
        <v>1600</v>
      </c>
      <c r="C330" s="149">
        <v>2329</v>
      </c>
      <c r="D330" s="149" t="s">
        <v>1617</v>
      </c>
      <c r="E330" s="149" t="s">
        <v>1618</v>
      </c>
      <c r="F330" s="149" t="s">
        <v>267</v>
      </c>
      <c r="G330" s="149" t="s">
        <v>143</v>
      </c>
      <c r="H330" s="151" t="str">
        <f t="shared" si="26"/>
        <v>1995/05/27</v>
      </c>
      <c r="I330" s="149" t="s">
        <v>295</v>
      </c>
      <c r="J330" s="149" t="s">
        <v>358</v>
      </c>
      <c r="K330" s="101" t="str">
        <f t="shared" si="27"/>
        <v>95</v>
      </c>
      <c r="L330" s="101" t="str">
        <f t="shared" si="28"/>
        <v>05</v>
      </c>
      <c r="M330" s="101" t="str">
        <f t="shared" si="29"/>
        <v>27</v>
      </c>
    </row>
    <row r="331" spans="1:13">
      <c r="A331" t="str">
        <f t="shared" si="25"/>
        <v>広島経済大学2330男</v>
      </c>
      <c r="B331" s="149" t="s">
        <v>1600</v>
      </c>
      <c r="C331" s="149">
        <v>2330</v>
      </c>
      <c r="D331" s="149" t="s">
        <v>1619</v>
      </c>
      <c r="E331" s="149" t="s">
        <v>1620</v>
      </c>
      <c r="F331" s="149" t="s">
        <v>267</v>
      </c>
      <c r="G331" s="149" t="s">
        <v>143</v>
      </c>
      <c r="H331" s="151" t="str">
        <f t="shared" si="26"/>
        <v>1995/05/24</v>
      </c>
      <c r="I331" s="149" t="s">
        <v>302</v>
      </c>
      <c r="J331" s="149" t="s">
        <v>528</v>
      </c>
      <c r="K331" s="101" t="str">
        <f t="shared" si="27"/>
        <v>95</v>
      </c>
      <c r="L331" s="101" t="str">
        <f t="shared" si="28"/>
        <v>05</v>
      </c>
      <c r="M331" s="101" t="str">
        <f t="shared" si="29"/>
        <v>24</v>
      </c>
    </row>
    <row r="332" spans="1:13">
      <c r="A332" t="str">
        <f t="shared" si="25"/>
        <v>広島経済大学2331男</v>
      </c>
      <c r="B332" s="149" t="s">
        <v>1600</v>
      </c>
      <c r="C332" s="149">
        <v>2331</v>
      </c>
      <c r="D332" s="149" t="s">
        <v>1621</v>
      </c>
      <c r="E332" s="149" t="s">
        <v>1622</v>
      </c>
      <c r="F332" s="149" t="s">
        <v>267</v>
      </c>
      <c r="G332" s="149" t="s">
        <v>143</v>
      </c>
      <c r="H332" s="151" t="str">
        <f t="shared" si="26"/>
        <v>1995/06/05</v>
      </c>
      <c r="I332" s="149" t="s">
        <v>295</v>
      </c>
      <c r="J332" s="149" t="s">
        <v>845</v>
      </c>
      <c r="K332" s="101" t="str">
        <f t="shared" si="27"/>
        <v>95</v>
      </c>
      <c r="L332" s="101" t="str">
        <f t="shared" si="28"/>
        <v>06</v>
      </c>
      <c r="M332" s="101" t="str">
        <f t="shared" si="29"/>
        <v>05</v>
      </c>
    </row>
    <row r="333" spans="1:13">
      <c r="A333" t="str">
        <f t="shared" si="25"/>
        <v>広島経済大学2332男</v>
      </c>
      <c r="B333" s="149" t="s">
        <v>1600</v>
      </c>
      <c r="C333" s="149">
        <v>2332</v>
      </c>
      <c r="D333" s="149" t="s">
        <v>1623</v>
      </c>
      <c r="E333" s="149" t="s">
        <v>1624</v>
      </c>
      <c r="F333" s="149" t="s">
        <v>267</v>
      </c>
      <c r="G333" s="149" t="s">
        <v>143</v>
      </c>
      <c r="H333" s="151" t="str">
        <f t="shared" si="26"/>
        <v>1995/09/26</v>
      </c>
      <c r="I333" s="149" t="s">
        <v>301</v>
      </c>
      <c r="J333" s="149" t="s">
        <v>491</v>
      </c>
      <c r="K333" s="101" t="str">
        <f t="shared" si="27"/>
        <v>95</v>
      </c>
      <c r="L333" s="101" t="str">
        <f t="shared" si="28"/>
        <v>09</v>
      </c>
      <c r="M333" s="101" t="str">
        <f t="shared" si="29"/>
        <v>26</v>
      </c>
    </row>
    <row r="334" spans="1:13">
      <c r="A334" t="str">
        <f t="shared" si="25"/>
        <v>広島経済大学2333男</v>
      </c>
      <c r="B334" s="149" t="s">
        <v>1600</v>
      </c>
      <c r="C334" s="149">
        <v>2333</v>
      </c>
      <c r="D334" s="149" t="s">
        <v>1625</v>
      </c>
      <c r="E334" s="149" t="s">
        <v>1626</v>
      </c>
      <c r="F334" s="149" t="s">
        <v>267</v>
      </c>
      <c r="G334" s="149" t="s">
        <v>143</v>
      </c>
      <c r="H334" s="151" t="str">
        <f t="shared" si="26"/>
        <v>1995/05/12</v>
      </c>
      <c r="I334" s="149" t="s">
        <v>269</v>
      </c>
      <c r="J334" s="149" t="s">
        <v>900</v>
      </c>
      <c r="K334" s="101" t="str">
        <f t="shared" si="27"/>
        <v>95</v>
      </c>
      <c r="L334" s="101" t="str">
        <f t="shared" si="28"/>
        <v>05</v>
      </c>
      <c r="M334" s="101" t="str">
        <f t="shared" si="29"/>
        <v>12</v>
      </c>
    </row>
    <row r="335" spans="1:13">
      <c r="A335" t="str">
        <f t="shared" si="25"/>
        <v>広島経済大学2334男</v>
      </c>
      <c r="B335" s="149" t="s">
        <v>1600</v>
      </c>
      <c r="C335" s="149">
        <v>2334</v>
      </c>
      <c r="D335" s="149" t="s">
        <v>1627</v>
      </c>
      <c r="E335" s="149" t="s">
        <v>1628</v>
      </c>
      <c r="F335" s="149" t="s">
        <v>267</v>
      </c>
      <c r="G335" s="149" t="s">
        <v>143</v>
      </c>
      <c r="H335" s="151" t="str">
        <f t="shared" si="26"/>
        <v>1995/10/31</v>
      </c>
      <c r="I335" s="149" t="s">
        <v>295</v>
      </c>
      <c r="J335" s="149" t="s">
        <v>3764</v>
      </c>
      <c r="K335" s="101" t="str">
        <f t="shared" si="27"/>
        <v>95</v>
      </c>
      <c r="L335" s="101" t="str">
        <f t="shared" si="28"/>
        <v>10</v>
      </c>
      <c r="M335" s="101" t="str">
        <f t="shared" si="29"/>
        <v>31</v>
      </c>
    </row>
    <row r="336" spans="1:13">
      <c r="A336" t="str">
        <f t="shared" si="25"/>
        <v>広島経済大学2335男</v>
      </c>
      <c r="B336" s="149" t="s">
        <v>1600</v>
      </c>
      <c r="C336" s="149">
        <v>2335</v>
      </c>
      <c r="D336" s="149" t="s">
        <v>1629</v>
      </c>
      <c r="E336" s="149" t="s">
        <v>1630</v>
      </c>
      <c r="F336" s="149" t="s">
        <v>260</v>
      </c>
      <c r="G336" s="149" t="s">
        <v>143</v>
      </c>
      <c r="H336" s="151" t="str">
        <f t="shared" si="26"/>
        <v>1994/01/25</v>
      </c>
      <c r="I336" s="149" t="s">
        <v>299</v>
      </c>
      <c r="J336" s="149" t="s">
        <v>3765</v>
      </c>
      <c r="K336" s="101" t="str">
        <f t="shared" si="27"/>
        <v>94</v>
      </c>
      <c r="L336" s="101" t="str">
        <f t="shared" si="28"/>
        <v>01</v>
      </c>
      <c r="M336" s="101" t="str">
        <f t="shared" si="29"/>
        <v>25</v>
      </c>
    </row>
    <row r="337" spans="1:13">
      <c r="A337" t="str">
        <f t="shared" si="25"/>
        <v>広島経済大学2336男</v>
      </c>
      <c r="B337" s="149" t="s">
        <v>1600</v>
      </c>
      <c r="C337" s="149">
        <v>2336</v>
      </c>
      <c r="D337" s="149" t="s">
        <v>1631</v>
      </c>
      <c r="E337" s="149" t="s">
        <v>1632</v>
      </c>
      <c r="F337" s="149" t="s">
        <v>260</v>
      </c>
      <c r="G337" s="149" t="s">
        <v>143</v>
      </c>
      <c r="H337" s="151" t="str">
        <f t="shared" si="26"/>
        <v>1993/07/02</v>
      </c>
      <c r="I337" s="149" t="s">
        <v>295</v>
      </c>
      <c r="J337" s="149" t="s">
        <v>3766</v>
      </c>
      <c r="K337" s="101" t="str">
        <f t="shared" si="27"/>
        <v>93</v>
      </c>
      <c r="L337" s="101" t="str">
        <f t="shared" si="28"/>
        <v>07</v>
      </c>
      <c r="M337" s="101" t="str">
        <f t="shared" si="29"/>
        <v>02</v>
      </c>
    </row>
    <row r="338" spans="1:13">
      <c r="A338" t="str">
        <f t="shared" si="25"/>
        <v>広島経済大学2337男</v>
      </c>
      <c r="B338" s="149" t="s">
        <v>1600</v>
      </c>
      <c r="C338" s="149">
        <v>2337</v>
      </c>
      <c r="D338" s="149" t="s">
        <v>1633</v>
      </c>
      <c r="E338" s="149" t="s">
        <v>1634</v>
      </c>
      <c r="F338" s="149" t="s">
        <v>260</v>
      </c>
      <c r="G338" s="149" t="s">
        <v>143</v>
      </c>
      <c r="H338" s="151" t="str">
        <f t="shared" si="26"/>
        <v>1993/10/21</v>
      </c>
      <c r="I338" s="149" t="s">
        <v>299</v>
      </c>
      <c r="J338" s="149" t="s">
        <v>531</v>
      </c>
      <c r="K338" s="101" t="str">
        <f t="shared" si="27"/>
        <v>93</v>
      </c>
      <c r="L338" s="101" t="str">
        <f t="shared" si="28"/>
        <v>10</v>
      </c>
      <c r="M338" s="101" t="str">
        <f t="shared" si="29"/>
        <v>21</v>
      </c>
    </row>
    <row r="339" spans="1:13">
      <c r="A339" t="str">
        <f t="shared" si="25"/>
        <v>広島経済大学2338男</v>
      </c>
      <c r="B339" s="149" t="s">
        <v>1600</v>
      </c>
      <c r="C339" s="149">
        <v>2338</v>
      </c>
      <c r="D339" s="149" t="s">
        <v>1635</v>
      </c>
      <c r="E339" s="149" t="s">
        <v>1636</v>
      </c>
      <c r="F339" s="149" t="s">
        <v>260</v>
      </c>
      <c r="G339" s="149" t="s">
        <v>143</v>
      </c>
      <c r="H339" s="151" t="str">
        <f t="shared" si="26"/>
        <v>1993/06/15</v>
      </c>
      <c r="I339" s="149" t="s">
        <v>295</v>
      </c>
      <c r="J339" s="149" t="s">
        <v>570</v>
      </c>
      <c r="K339" s="101" t="str">
        <f t="shared" si="27"/>
        <v>93</v>
      </c>
      <c r="L339" s="101" t="str">
        <f t="shared" si="28"/>
        <v>06</v>
      </c>
      <c r="M339" s="101" t="str">
        <f t="shared" si="29"/>
        <v>15</v>
      </c>
    </row>
    <row r="340" spans="1:13">
      <c r="A340" t="str">
        <f t="shared" si="25"/>
        <v>広島経済大学2339男</v>
      </c>
      <c r="B340" s="149" t="s">
        <v>1600</v>
      </c>
      <c r="C340" s="149">
        <v>2339</v>
      </c>
      <c r="D340" s="149" t="s">
        <v>1637</v>
      </c>
      <c r="E340" s="149" t="s">
        <v>1638</v>
      </c>
      <c r="F340" s="149" t="s">
        <v>260</v>
      </c>
      <c r="G340" s="149" t="s">
        <v>143</v>
      </c>
      <c r="H340" s="151" t="str">
        <f t="shared" si="26"/>
        <v>1993/04/09</v>
      </c>
      <c r="I340" s="149" t="s">
        <v>295</v>
      </c>
      <c r="J340" s="149" t="s">
        <v>3767</v>
      </c>
      <c r="K340" s="101" t="str">
        <f t="shared" si="27"/>
        <v>93</v>
      </c>
      <c r="L340" s="101" t="str">
        <f t="shared" si="28"/>
        <v>04</v>
      </c>
      <c r="M340" s="101" t="str">
        <f t="shared" si="29"/>
        <v>09</v>
      </c>
    </row>
    <row r="341" spans="1:13">
      <c r="A341" t="str">
        <f t="shared" si="25"/>
        <v>広島経済大学2340男</v>
      </c>
      <c r="B341" s="149" t="s">
        <v>1600</v>
      </c>
      <c r="C341" s="149">
        <v>2340</v>
      </c>
      <c r="D341" s="149" t="s">
        <v>1639</v>
      </c>
      <c r="E341" s="149" t="s">
        <v>1640</v>
      </c>
      <c r="F341" s="149" t="s">
        <v>260</v>
      </c>
      <c r="G341" s="149" t="s">
        <v>143</v>
      </c>
      <c r="H341" s="151" t="str">
        <f t="shared" si="26"/>
        <v>1993/08/07</v>
      </c>
      <c r="I341" s="149" t="s">
        <v>269</v>
      </c>
      <c r="J341" s="149" t="s">
        <v>883</v>
      </c>
      <c r="K341" s="101" t="str">
        <f t="shared" si="27"/>
        <v>93</v>
      </c>
      <c r="L341" s="101" t="str">
        <f t="shared" si="28"/>
        <v>08</v>
      </c>
      <c r="M341" s="101" t="str">
        <f t="shared" si="29"/>
        <v>07</v>
      </c>
    </row>
    <row r="342" spans="1:13">
      <c r="A342" t="str">
        <f t="shared" si="25"/>
        <v>広島経済大学2341男</v>
      </c>
      <c r="B342" s="149" t="s">
        <v>1600</v>
      </c>
      <c r="C342" s="149">
        <v>2341</v>
      </c>
      <c r="D342" s="149" t="s">
        <v>1641</v>
      </c>
      <c r="E342" s="149" t="s">
        <v>1642</v>
      </c>
      <c r="F342" s="149" t="s">
        <v>260</v>
      </c>
      <c r="G342" s="149" t="s">
        <v>143</v>
      </c>
      <c r="H342" s="151" t="str">
        <f t="shared" si="26"/>
        <v>1993/05/23</v>
      </c>
      <c r="I342" s="149" t="s">
        <v>281</v>
      </c>
      <c r="J342" s="149" t="s">
        <v>575</v>
      </c>
      <c r="K342" s="101" t="str">
        <f t="shared" si="27"/>
        <v>93</v>
      </c>
      <c r="L342" s="101" t="str">
        <f t="shared" si="28"/>
        <v>05</v>
      </c>
      <c r="M342" s="101" t="str">
        <f t="shared" si="29"/>
        <v>23</v>
      </c>
    </row>
    <row r="343" spans="1:13">
      <c r="A343" t="str">
        <f t="shared" si="25"/>
        <v>広島経済大学2342男</v>
      </c>
      <c r="B343" s="149" t="s">
        <v>1600</v>
      </c>
      <c r="C343" s="149">
        <v>2342</v>
      </c>
      <c r="D343" s="149" t="s">
        <v>1643</v>
      </c>
      <c r="E343" s="149" t="s">
        <v>1644</v>
      </c>
      <c r="F343" s="149" t="s">
        <v>265</v>
      </c>
      <c r="G343" s="149" t="s">
        <v>143</v>
      </c>
      <c r="H343" s="151" t="str">
        <f t="shared" si="26"/>
        <v>1994/12/31</v>
      </c>
      <c r="I343" s="149" t="s">
        <v>295</v>
      </c>
      <c r="J343" s="149" t="s">
        <v>463</v>
      </c>
      <c r="K343" s="101" t="str">
        <f t="shared" si="27"/>
        <v>94</v>
      </c>
      <c r="L343" s="101" t="str">
        <f t="shared" si="28"/>
        <v>12</v>
      </c>
      <c r="M343" s="101" t="str">
        <f t="shared" si="29"/>
        <v>31</v>
      </c>
    </row>
    <row r="344" spans="1:13">
      <c r="A344" t="str">
        <f t="shared" si="25"/>
        <v>広島経済大学2343男</v>
      </c>
      <c r="B344" s="149" t="s">
        <v>1600</v>
      </c>
      <c r="C344" s="149">
        <v>2343</v>
      </c>
      <c r="D344" s="149" t="s">
        <v>1645</v>
      </c>
      <c r="E344" s="149" t="s">
        <v>1646</v>
      </c>
      <c r="F344" s="149" t="s">
        <v>265</v>
      </c>
      <c r="G344" s="149" t="s">
        <v>143</v>
      </c>
      <c r="H344" s="151" t="str">
        <f t="shared" si="26"/>
        <v>1994/10/23</v>
      </c>
      <c r="I344" s="149" t="s">
        <v>295</v>
      </c>
      <c r="J344" s="149" t="s">
        <v>3768</v>
      </c>
      <c r="K344" s="101" t="str">
        <f t="shared" si="27"/>
        <v>94</v>
      </c>
      <c r="L344" s="101" t="str">
        <f t="shared" si="28"/>
        <v>10</v>
      </c>
      <c r="M344" s="101" t="str">
        <f t="shared" si="29"/>
        <v>23</v>
      </c>
    </row>
    <row r="345" spans="1:13">
      <c r="A345" t="str">
        <f t="shared" si="25"/>
        <v>広島経済大学2344男</v>
      </c>
      <c r="B345" s="149" t="s">
        <v>1600</v>
      </c>
      <c r="C345" s="149">
        <v>2344</v>
      </c>
      <c r="D345" s="149" t="s">
        <v>1647</v>
      </c>
      <c r="E345" s="149" t="s">
        <v>1648</v>
      </c>
      <c r="F345" s="149" t="s">
        <v>265</v>
      </c>
      <c r="G345" s="149" t="s">
        <v>143</v>
      </c>
      <c r="H345" s="151" t="str">
        <f t="shared" si="26"/>
        <v>1994/10/12</v>
      </c>
      <c r="I345" s="149" t="s">
        <v>302</v>
      </c>
      <c r="J345" s="149" t="s">
        <v>3699</v>
      </c>
      <c r="K345" s="101" t="str">
        <f t="shared" si="27"/>
        <v>94</v>
      </c>
      <c r="L345" s="101" t="str">
        <f t="shared" si="28"/>
        <v>10</v>
      </c>
      <c r="M345" s="101" t="str">
        <f t="shared" si="29"/>
        <v>12</v>
      </c>
    </row>
    <row r="346" spans="1:13">
      <c r="A346" t="str">
        <f t="shared" si="25"/>
        <v>広島経済大学2345男</v>
      </c>
      <c r="B346" s="149" t="s">
        <v>1600</v>
      </c>
      <c r="C346" s="149">
        <v>2345</v>
      </c>
      <c r="D346" s="149" t="s">
        <v>1649</v>
      </c>
      <c r="E346" s="149" t="s">
        <v>1650</v>
      </c>
      <c r="F346" s="149" t="s">
        <v>265</v>
      </c>
      <c r="G346" s="149" t="s">
        <v>143</v>
      </c>
      <c r="H346" s="151" t="str">
        <f t="shared" si="26"/>
        <v>1994/10/15</v>
      </c>
      <c r="I346" s="149" t="s">
        <v>295</v>
      </c>
      <c r="J346" s="149" t="s">
        <v>3769</v>
      </c>
      <c r="K346" s="101" t="str">
        <f t="shared" si="27"/>
        <v>94</v>
      </c>
      <c r="L346" s="101" t="str">
        <f t="shared" si="28"/>
        <v>10</v>
      </c>
      <c r="M346" s="101" t="str">
        <f t="shared" si="29"/>
        <v>15</v>
      </c>
    </row>
    <row r="347" spans="1:13">
      <c r="A347" t="str">
        <f t="shared" si="25"/>
        <v>広島経済大学2346男</v>
      </c>
      <c r="B347" s="149" t="s">
        <v>1600</v>
      </c>
      <c r="C347" s="149">
        <v>2346</v>
      </c>
      <c r="D347" s="149" t="s">
        <v>1651</v>
      </c>
      <c r="E347" s="149" t="s">
        <v>318</v>
      </c>
      <c r="F347" s="149" t="s">
        <v>265</v>
      </c>
      <c r="G347" s="149" t="s">
        <v>143</v>
      </c>
      <c r="H347" s="151" t="str">
        <f t="shared" si="26"/>
        <v>1994/12/03</v>
      </c>
      <c r="I347" s="149" t="s">
        <v>299</v>
      </c>
      <c r="J347" s="149" t="s">
        <v>892</v>
      </c>
      <c r="K347" s="101" t="str">
        <f t="shared" si="27"/>
        <v>94</v>
      </c>
      <c r="L347" s="101" t="str">
        <f t="shared" si="28"/>
        <v>12</v>
      </c>
      <c r="M347" s="101" t="str">
        <f t="shared" si="29"/>
        <v>03</v>
      </c>
    </row>
    <row r="348" spans="1:13">
      <c r="A348" t="str">
        <f t="shared" si="25"/>
        <v>広島経済大学2347男</v>
      </c>
      <c r="B348" s="149" t="s">
        <v>1600</v>
      </c>
      <c r="C348" s="149">
        <v>2347</v>
      </c>
      <c r="D348" s="149" t="s">
        <v>1652</v>
      </c>
      <c r="E348" s="149" t="s">
        <v>1653</v>
      </c>
      <c r="F348" s="149" t="s">
        <v>265</v>
      </c>
      <c r="G348" s="149" t="s">
        <v>143</v>
      </c>
      <c r="H348" s="151" t="str">
        <f t="shared" si="26"/>
        <v>1994/05/30</v>
      </c>
      <c r="I348" s="149" t="s">
        <v>295</v>
      </c>
      <c r="J348" s="149" t="s">
        <v>438</v>
      </c>
      <c r="K348" s="101" t="str">
        <f t="shared" si="27"/>
        <v>94</v>
      </c>
      <c r="L348" s="101" t="str">
        <f t="shared" si="28"/>
        <v>05</v>
      </c>
      <c r="M348" s="101" t="str">
        <f t="shared" si="29"/>
        <v>30</v>
      </c>
    </row>
    <row r="349" spans="1:13">
      <c r="A349" t="str">
        <f t="shared" si="25"/>
        <v>広島経済大学2348男</v>
      </c>
      <c r="B349" s="149" t="s">
        <v>1600</v>
      </c>
      <c r="C349" s="149">
        <v>2348</v>
      </c>
      <c r="D349" s="149" t="s">
        <v>1654</v>
      </c>
      <c r="E349" s="149" t="s">
        <v>1655</v>
      </c>
      <c r="F349" s="149" t="s">
        <v>267</v>
      </c>
      <c r="G349" s="149" t="s">
        <v>143</v>
      </c>
      <c r="H349" s="151" t="str">
        <f t="shared" si="26"/>
        <v>1995/11/05</v>
      </c>
      <c r="I349" s="149" t="s">
        <v>295</v>
      </c>
      <c r="J349" s="149" t="s">
        <v>434</v>
      </c>
      <c r="K349" s="101" t="str">
        <f t="shared" si="27"/>
        <v>95</v>
      </c>
      <c r="L349" s="101" t="str">
        <f t="shared" si="28"/>
        <v>11</v>
      </c>
      <c r="M349" s="101" t="str">
        <f t="shared" si="29"/>
        <v>05</v>
      </c>
    </row>
    <row r="350" spans="1:13">
      <c r="A350" t="str">
        <f t="shared" si="25"/>
        <v>広島経済大学2349男</v>
      </c>
      <c r="B350" s="149" t="s">
        <v>1600</v>
      </c>
      <c r="C350" s="149">
        <v>2349</v>
      </c>
      <c r="D350" s="149" t="s">
        <v>1656</v>
      </c>
      <c r="E350" s="149" t="s">
        <v>1657</v>
      </c>
      <c r="F350" s="149" t="s">
        <v>267</v>
      </c>
      <c r="G350" s="149" t="s">
        <v>143</v>
      </c>
      <c r="H350" s="151" t="str">
        <f t="shared" si="26"/>
        <v>1995/05/04</v>
      </c>
      <c r="I350" s="149" t="s">
        <v>295</v>
      </c>
      <c r="J350" s="149" t="s">
        <v>3770</v>
      </c>
      <c r="K350" s="101" t="str">
        <f t="shared" si="27"/>
        <v>95</v>
      </c>
      <c r="L350" s="101" t="str">
        <f t="shared" si="28"/>
        <v>05</v>
      </c>
      <c r="M350" s="101" t="str">
        <f t="shared" si="29"/>
        <v>04</v>
      </c>
    </row>
    <row r="351" spans="1:13">
      <c r="A351" t="str">
        <f t="shared" si="25"/>
        <v>広島経済大学2350男</v>
      </c>
      <c r="B351" s="149" t="s">
        <v>1600</v>
      </c>
      <c r="C351" s="149">
        <v>2350</v>
      </c>
      <c r="D351" s="149" t="s">
        <v>1658</v>
      </c>
      <c r="E351" s="149" t="s">
        <v>1659</v>
      </c>
      <c r="F351" s="149" t="s">
        <v>267</v>
      </c>
      <c r="G351" s="149" t="s">
        <v>143</v>
      </c>
      <c r="H351" s="151" t="str">
        <f t="shared" si="26"/>
        <v>1995/05/04</v>
      </c>
      <c r="I351" s="149" t="s">
        <v>295</v>
      </c>
      <c r="J351" s="149" t="s">
        <v>3770</v>
      </c>
      <c r="K351" s="101" t="str">
        <f t="shared" si="27"/>
        <v>95</v>
      </c>
      <c r="L351" s="101" t="str">
        <f t="shared" si="28"/>
        <v>05</v>
      </c>
      <c r="M351" s="101" t="str">
        <f t="shared" si="29"/>
        <v>04</v>
      </c>
    </row>
    <row r="352" spans="1:13">
      <c r="A352" t="str">
        <f t="shared" si="25"/>
        <v>広島経済大学2351男</v>
      </c>
      <c r="B352" s="149" t="s">
        <v>1600</v>
      </c>
      <c r="C352" s="149">
        <v>2351</v>
      </c>
      <c r="D352" s="149" t="s">
        <v>1660</v>
      </c>
      <c r="E352" s="149" t="s">
        <v>1661</v>
      </c>
      <c r="F352" s="149" t="s">
        <v>267</v>
      </c>
      <c r="G352" s="149" t="s">
        <v>143</v>
      </c>
      <c r="H352" s="151" t="str">
        <f t="shared" si="26"/>
        <v>1996/02/13</v>
      </c>
      <c r="I352" s="149" t="s">
        <v>295</v>
      </c>
      <c r="J352" s="149" t="s">
        <v>830</v>
      </c>
      <c r="K352" s="101" t="str">
        <f t="shared" si="27"/>
        <v>96</v>
      </c>
      <c r="L352" s="101" t="str">
        <f t="shared" si="28"/>
        <v>02</v>
      </c>
      <c r="M352" s="101" t="str">
        <f t="shared" si="29"/>
        <v>13</v>
      </c>
    </row>
    <row r="353" spans="1:13">
      <c r="A353" t="str">
        <f t="shared" si="25"/>
        <v>広島経済大学2352男</v>
      </c>
      <c r="B353" s="149" t="s">
        <v>1600</v>
      </c>
      <c r="C353" s="149">
        <v>2352</v>
      </c>
      <c r="D353" s="149" t="s">
        <v>1662</v>
      </c>
      <c r="E353" s="149" t="s">
        <v>1663</v>
      </c>
      <c r="F353" s="149" t="s">
        <v>267</v>
      </c>
      <c r="G353" s="149" t="s">
        <v>143</v>
      </c>
      <c r="H353" s="151" t="str">
        <f t="shared" si="26"/>
        <v>1995/05/22</v>
      </c>
      <c r="I353" s="149" t="s">
        <v>295</v>
      </c>
      <c r="J353" s="149" t="s">
        <v>511</v>
      </c>
      <c r="K353" s="101" t="str">
        <f t="shared" si="27"/>
        <v>95</v>
      </c>
      <c r="L353" s="101" t="str">
        <f t="shared" si="28"/>
        <v>05</v>
      </c>
      <c r="M353" s="101" t="str">
        <f t="shared" si="29"/>
        <v>22</v>
      </c>
    </row>
    <row r="354" spans="1:13">
      <c r="A354" t="str">
        <f t="shared" si="25"/>
        <v>広島経済大学2353男</v>
      </c>
      <c r="B354" s="149" t="s">
        <v>1600</v>
      </c>
      <c r="C354" s="149">
        <v>2353</v>
      </c>
      <c r="D354" s="149" t="s">
        <v>1664</v>
      </c>
      <c r="E354" s="149" t="s">
        <v>1665</v>
      </c>
      <c r="F354" s="149" t="s">
        <v>267</v>
      </c>
      <c r="G354" s="149" t="s">
        <v>143</v>
      </c>
      <c r="H354" s="151" t="str">
        <f t="shared" si="26"/>
        <v>1995/06/08</v>
      </c>
      <c r="I354" s="149" t="s">
        <v>281</v>
      </c>
      <c r="J354" s="149" t="s">
        <v>451</v>
      </c>
      <c r="K354" s="101" t="str">
        <f t="shared" si="27"/>
        <v>95</v>
      </c>
      <c r="L354" s="101" t="str">
        <f t="shared" si="28"/>
        <v>06</v>
      </c>
      <c r="M354" s="101" t="str">
        <f t="shared" si="29"/>
        <v>08</v>
      </c>
    </row>
    <row r="355" spans="1:13">
      <c r="A355" t="str">
        <f t="shared" si="25"/>
        <v>広島経済大学2354男</v>
      </c>
      <c r="B355" s="149" t="s">
        <v>1600</v>
      </c>
      <c r="C355" s="149">
        <v>2354</v>
      </c>
      <c r="D355" s="149" t="s">
        <v>1666</v>
      </c>
      <c r="E355" s="149" t="s">
        <v>1667</v>
      </c>
      <c r="F355" s="149" t="s">
        <v>267</v>
      </c>
      <c r="G355" s="149" t="s">
        <v>143</v>
      </c>
      <c r="H355" s="151" t="str">
        <f t="shared" si="26"/>
        <v>1995/07/16</v>
      </c>
      <c r="I355" s="149" t="s">
        <v>295</v>
      </c>
      <c r="J355" s="149" t="s">
        <v>361</v>
      </c>
      <c r="K355" s="101" t="str">
        <f t="shared" si="27"/>
        <v>95</v>
      </c>
      <c r="L355" s="101" t="str">
        <f t="shared" si="28"/>
        <v>07</v>
      </c>
      <c r="M355" s="101" t="str">
        <f t="shared" si="29"/>
        <v>16</v>
      </c>
    </row>
    <row r="356" spans="1:13">
      <c r="A356" t="str">
        <f t="shared" si="25"/>
        <v>広島経済大学2355男</v>
      </c>
      <c r="B356" s="149" t="s">
        <v>1600</v>
      </c>
      <c r="C356" s="149">
        <v>2355</v>
      </c>
      <c r="D356" s="149" t="s">
        <v>1668</v>
      </c>
      <c r="E356" s="149" t="s">
        <v>1669</v>
      </c>
      <c r="F356" s="149" t="s">
        <v>267</v>
      </c>
      <c r="G356" s="149" t="s">
        <v>143</v>
      </c>
      <c r="H356" s="151" t="str">
        <f t="shared" si="26"/>
        <v>1995/12/06</v>
      </c>
      <c r="I356" s="149" t="s">
        <v>289</v>
      </c>
      <c r="J356" s="149" t="s">
        <v>750</v>
      </c>
      <c r="K356" s="101" t="str">
        <f t="shared" si="27"/>
        <v>95</v>
      </c>
      <c r="L356" s="101" t="str">
        <f t="shared" si="28"/>
        <v>12</v>
      </c>
      <c r="M356" s="101" t="str">
        <f t="shared" si="29"/>
        <v>06</v>
      </c>
    </row>
    <row r="357" spans="1:13">
      <c r="A357" t="str">
        <f t="shared" si="25"/>
        <v>広島経済大学2356男</v>
      </c>
      <c r="B357" s="149" t="s">
        <v>1600</v>
      </c>
      <c r="C357" s="149">
        <v>2356</v>
      </c>
      <c r="D357" s="149" t="s">
        <v>1670</v>
      </c>
      <c r="E357" s="149" t="s">
        <v>1671</v>
      </c>
      <c r="F357" s="149" t="s">
        <v>260</v>
      </c>
      <c r="G357" s="149" t="s">
        <v>143</v>
      </c>
      <c r="H357" s="151" t="str">
        <f t="shared" si="26"/>
        <v>1993/07/24</v>
      </c>
      <c r="I357" s="149" t="s">
        <v>295</v>
      </c>
      <c r="J357" s="149" t="s">
        <v>3771</v>
      </c>
      <c r="K357" s="101" t="str">
        <f t="shared" si="27"/>
        <v>93</v>
      </c>
      <c r="L357" s="101" t="str">
        <f t="shared" si="28"/>
        <v>07</v>
      </c>
      <c r="M357" s="101" t="str">
        <f t="shared" si="29"/>
        <v>24</v>
      </c>
    </row>
    <row r="358" spans="1:13">
      <c r="A358" t="str">
        <f t="shared" si="25"/>
        <v>広島経済大学2357男</v>
      </c>
      <c r="B358" s="149" t="s">
        <v>1600</v>
      </c>
      <c r="C358" s="149">
        <v>2357</v>
      </c>
      <c r="D358" s="149" t="s">
        <v>1672</v>
      </c>
      <c r="E358" s="149" t="s">
        <v>1673</v>
      </c>
      <c r="F358" s="149" t="s">
        <v>260</v>
      </c>
      <c r="G358" s="149" t="s">
        <v>143</v>
      </c>
      <c r="H358" s="151" t="str">
        <f t="shared" si="26"/>
        <v>1993/09/20</v>
      </c>
      <c r="I358" s="149" t="s">
        <v>295</v>
      </c>
      <c r="J358" s="149" t="s">
        <v>3772</v>
      </c>
      <c r="K358" s="101" t="str">
        <f t="shared" si="27"/>
        <v>93</v>
      </c>
      <c r="L358" s="101" t="str">
        <f t="shared" si="28"/>
        <v>09</v>
      </c>
      <c r="M358" s="101" t="str">
        <f t="shared" si="29"/>
        <v>20</v>
      </c>
    </row>
    <row r="359" spans="1:13">
      <c r="A359" t="str">
        <f t="shared" si="25"/>
        <v>広島経済大学2358男</v>
      </c>
      <c r="B359" s="149" t="s">
        <v>1600</v>
      </c>
      <c r="C359" s="149">
        <v>2358</v>
      </c>
      <c r="D359" s="149" t="s">
        <v>1674</v>
      </c>
      <c r="E359" s="149" t="s">
        <v>1675</v>
      </c>
      <c r="F359" s="149" t="s">
        <v>280</v>
      </c>
      <c r="G359" s="149" t="s">
        <v>143</v>
      </c>
      <c r="H359" s="151" t="str">
        <f t="shared" si="26"/>
        <v>1996/09/22</v>
      </c>
      <c r="I359" s="149" t="s">
        <v>269</v>
      </c>
      <c r="J359" s="149" t="s">
        <v>760</v>
      </c>
      <c r="K359" s="101" t="str">
        <f t="shared" si="27"/>
        <v>96</v>
      </c>
      <c r="L359" s="101" t="str">
        <f t="shared" si="28"/>
        <v>09</v>
      </c>
      <c r="M359" s="101" t="str">
        <f t="shared" si="29"/>
        <v>22</v>
      </c>
    </row>
    <row r="360" spans="1:13">
      <c r="A360" t="str">
        <f t="shared" si="25"/>
        <v>広島経済大学2359男</v>
      </c>
      <c r="B360" s="149" t="s">
        <v>1600</v>
      </c>
      <c r="C360" s="149">
        <v>2359</v>
      </c>
      <c r="D360" s="149" t="s">
        <v>1676</v>
      </c>
      <c r="E360" s="149" t="s">
        <v>1677</v>
      </c>
      <c r="F360" s="149" t="s">
        <v>280</v>
      </c>
      <c r="G360" s="149" t="s">
        <v>143</v>
      </c>
      <c r="H360" s="151" t="str">
        <f t="shared" si="26"/>
        <v>1996/04/03</v>
      </c>
      <c r="I360" s="149" t="s">
        <v>269</v>
      </c>
      <c r="J360" s="149" t="s">
        <v>837</v>
      </c>
      <c r="K360" s="101" t="str">
        <f t="shared" si="27"/>
        <v>96</v>
      </c>
      <c r="L360" s="101" t="str">
        <f t="shared" si="28"/>
        <v>04</v>
      </c>
      <c r="M360" s="101" t="str">
        <f t="shared" si="29"/>
        <v>03</v>
      </c>
    </row>
    <row r="361" spans="1:13">
      <c r="A361" t="str">
        <f t="shared" si="25"/>
        <v>広島経済大学2360男</v>
      </c>
      <c r="B361" s="149" t="s">
        <v>1600</v>
      </c>
      <c r="C361" s="149">
        <v>2360</v>
      </c>
      <c r="D361" s="149" t="s">
        <v>1678</v>
      </c>
      <c r="E361" s="149" t="s">
        <v>1679</v>
      </c>
      <c r="F361" s="149" t="s">
        <v>280</v>
      </c>
      <c r="G361" s="149" t="s">
        <v>143</v>
      </c>
      <c r="H361" s="151" t="str">
        <f t="shared" si="26"/>
        <v>1997/03/16</v>
      </c>
      <c r="I361" s="149" t="s">
        <v>302</v>
      </c>
      <c r="J361" s="149" t="s">
        <v>826</v>
      </c>
      <c r="K361" s="101" t="str">
        <f t="shared" si="27"/>
        <v>97</v>
      </c>
      <c r="L361" s="101" t="str">
        <f t="shared" si="28"/>
        <v>03</v>
      </c>
      <c r="M361" s="101" t="str">
        <f t="shared" si="29"/>
        <v>16</v>
      </c>
    </row>
    <row r="362" spans="1:13">
      <c r="A362" t="str">
        <f t="shared" si="25"/>
        <v>広島経済大学2361男</v>
      </c>
      <c r="B362" s="149" t="s">
        <v>1600</v>
      </c>
      <c r="C362" s="149">
        <v>2361</v>
      </c>
      <c r="D362" s="149" t="s">
        <v>1680</v>
      </c>
      <c r="E362" s="149" t="s">
        <v>1681</v>
      </c>
      <c r="F362" s="149" t="s">
        <v>280</v>
      </c>
      <c r="G362" s="149" t="s">
        <v>143</v>
      </c>
      <c r="H362" s="151" t="str">
        <f t="shared" si="26"/>
        <v>1997/02/26</v>
      </c>
      <c r="I362" s="149" t="s">
        <v>269</v>
      </c>
      <c r="J362" s="149" t="s">
        <v>736</v>
      </c>
      <c r="K362" s="101" t="str">
        <f t="shared" si="27"/>
        <v>97</v>
      </c>
      <c r="L362" s="101" t="str">
        <f t="shared" si="28"/>
        <v>02</v>
      </c>
      <c r="M362" s="101" t="str">
        <f t="shared" si="29"/>
        <v>26</v>
      </c>
    </row>
    <row r="363" spans="1:13">
      <c r="A363" t="str">
        <f t="shared" si="25"/>
        <v>広島経済大学2362男</v>
      </c>
      <c r="B363" s="149" t="s">
        <v>1600</v>
      </c>
      <c r="C363" s="149">
        <v>2362</v>
      </c>
      <c r="D363" s="149" t="s">
        <v>1682</v>
      </c>
      <c r="E363" s="149" t="s">
        <v>1683</v>
      </c>
      <c r="F363" s="149" t="s">
        <v>280</v>
      </c>
      <c r="G363" s="149" t="s">
        <v>143</v>
      </c>
      <c r="H363" s="151" t="str">
        <f t="shared" si="26"/>
        <v>1997/03/16</v>
      </c>
      <c r="I363" s="149" t="s">
        <v>281</v>
      </c>
      <c r="J363" s="149" t="s">
        <v>826</v>
      </c>
      <c r="K363" s="101" t="str">
        <f t="shared" si="27"/>
        <v>97</v>
      </c>
      <c r="L363" s="101" t="str">
        <f t="shared" si="28"/>
        <v>03</v>
      </c>
      <c r="M363" s="101" t="str">
        <f t="shared" si="29"/>
        <v>16</v>
      </c>
    </row>
    <row r="364" spans="1:13">
      <c r="A364" t="str">
        <f t="shared" si="25"/>
        <v>広島経済大学2363男</v>
      </c>
      <c r="B364" s="149" t="s">
        <v>1600</v>
      </c>
      <c r="C364" s="149">
        <v>2363</v>
      </c>
      <c r="D364" s="149" t="s">
        <v>1684</v>
      </c>
      <c r="E364" s="149" t="s">
        <v>1685</v>
      </c>
      <c r="F364" s="149" t="s">
        <v>280</v>
      </c>
      <c r="G364" s="149" t="s">
        <v>143</v>
      </c>
      <c r="H364" s="151" t="str">
        <f t="shared" si="26"/>
        <v>1996/04/11</v>
      </c>
      <c r="I364" s="149" t="s">
        <v>295</v>
      </c>
      <c r="J364" s="149" t="s">
        <v>764</v>
      </c>
      <c r="K364" s="101" t="str">
        <f t="shared" si="27"/>
        <v>96</v>
      </c>
      <c r="L364" s="101" t="str">
        <f t="shared" si="28"/>
        <v>04</v>
      </c>
      <c r="M364" s="101" t="str">
        <f t="shared" si="29"/>
        <v>11</v>
      </c>
    </row>
    <row r="365" spans="1:13">
      <c r="A365" t="str">
        <f t="shared" si="25"/>
        <v>広島経済大学2364男</v>
      </c>
      <c r="B365" s="149" t="s">
        <v>1600</v>
      </c>
      <c r="C365" s="149">
        <v>2364</v>
      </c>
      <c r="D365" s="149" t="s">
        <v>1686</v>
      </c>
      <c r="E365" s="149" t="s">
        <v>1687</v>
      </c>
      <c r="F365" s="149" t="s">
        <v>280</v>
      </c>
      <c r="G365" s="149" t="s">
        <v>143</v>
      </c>
      <c r="H365" s="151" t="str">
        <f t="shared" si="26"/>
        <v>1996/06/14</v>
      </c>
      <c r="I365" s="149" t="s">
        <v>269</v>
      </c>
      <c r="J365" s="149" t="s">
        <v>723</v>
      </c>
      <c r="K365" s="101" t="str">
        <f t="shared" si="27"/>
        <v>96</v>
      </c>
      <c r="L365" s="101" t="str">
        <f t="shared" si="28"/>
        <v>06</v>
      </c>
      <c r="M365" s="101" t="str">
        <f t="shared" si="29"/>
        <v>14</v>
      </c>
    </row>
    <row r="366" spans="1:13">
      <c r="A366" t="str">
        <f t="shared" si="25"/>
        <v>広島経済大学2365男</v>
      </c>
      <c r="B366" s="149" t="s">
        <v>1600</v>
      </c>
      <c r="C366" s="149">
        <v>2365</v>
      </c>
      <c r="D366" s="149" t="s">
        <v>1688</v>
      </c>
      <c r="E366" s="149" t="s">
        <v>1689</v>
      </c>
      <c r="F366" s="149" t="s">
        <v>280</v>
      </c>
      <c r="G366" s="149" t="s">
        <v>143</v>
      </c>
      <c r="H366" s="151" t="str">
        <f t="shared" si="26"/>
        <v>1996/11/25</v>
      </c>
      <c r="I366" s="149" t="s">
        <v>302</v>
      </c>
      <c r="J366" s="149" t="s">
        <v>811</v>
      </c>
      <c r="K366" s="101" t="str">
        <f t="shared" si="27"/>
        <v>96</v>
      </c>
      <c r="L366" s="101" t="str">
        <f t="shared" si="28"/>
        <v>11</v>
      </c>
      <c r="M366" s="101" t="str">
        <f t="shared" si="29"/>
        <v>25</v>
      </c>
    </row>
    <row r="367" spans="1:13">
      <c r="A367" t="str">
        <f t="shared" si="25"/>
        <v>岡山理科大学2366男</v>
      </c>
      <c r="B367" s="149" t="s">
        <v>1690</v>
      </c>
      <c r="C367" s="149">
        <v>2366</v>
      </c>
      <c r="D367" s="149" t="s">
        <v>1691</v>
      </c>
      <c r="E367" s="149" t="s">
        <v>1692</v>
      </c>
      <c r="F367" s="149" t="s">
        <v>260</v>
      </c>
      <c r="G367" s="149" t="s">
        <v>143</v>
      </c>
      <c r="H367" s="151" t="str">
        <f t="shared" si="26"/>
        <v>1993/06/21</v>
      </c>
      <c r="I367" s="149" t="s">
        <v>299</v>
      </c>
      <c r="J367" s="149" t="s">
        <v>3773</v>
      </c>
      <c r="K367" s="101" t="str">
        <f t="shared" si="27"/>
        <v>93</v>
      </c>
      <c r="L367" s="101" t="str">
        <f t="shared" si="28"/>
        <v>06</v>
      </c>
      <c r="M367" s="101" t="str">
        <f t="shared" si="29"/>
        <v>21</v>
      </c>
    </row>
    <row r="368" spans="1:13">
      <c r="A368" t="str">
        <f t="shared" si="25"/>
        <v>岡山理科大学2367男</v>
      </c>
      <c r="B368" s="149" t="s">
        <v>1690</v>
      </c>
      <c r="C368" s="149">
        <v>2367</v>
      </c>
      <c r="D368" s="149" t="s">
        <v>1693</v>
      </c>
      <c r="E368" s="149" t="s">
        <v>1694</v>
      </c>
      <c r="F368" s="149" t="s">
        <v>260</v>
      </c>
      <c r="G368" s="149" t="s">
        <v>143</v>
      </c>
      <c r="H368" s="151" t="str">
        <f t="shared" si="26"/>
        <v>1993/04/12</v>
      </c>
      <c r="I368" s="149" t="s">
        <v>299</v>
      </c>
      <c r="J368" s="149" t="s">
        <v>556</v>
      </c>
      <c r="K368" s="101" t="str">
        <f t="shared" si="27"/>
        <v>93</v>
      </c>
      <c r="L368" s="101" t="str">
        <f t="shared" si="28"/>
        <v>04</v>
      </c>
      <c r="M368" s="101" t="str">
        <f t="shared" si="29"/>
        <v>12</v>
      </c>
    </row>
    <row r="369" spans="1:13">
      <c r="A369" t="str">
        <f t="shared" si="25"/>
        <v>岡山理科大学2368男</v>
      </c>
      <c r="B369" s="149" t="s">
        <v>1690</v>
      </c>
      <c r="C369" s="149">
        <v>2368</v>
      </c>
      <c r="D369" s="149" t="s">
        <v>1695</v>
      </c>
      <c r="E369" s="149" t="s">
        <v>1696</v>
      </c>
      <c r="F369" s="149" t="s">
        <v>260</v>
      </c>
      <c r="G369" s="149" t="s">
        <v>143</v>
      </c>
      <c r="H369" s="151" t="str">
        <f t="shared" si="26"/>
        <v>1993/11/27</v>
      </c>
      <c r="I369" s="149" t="s">
        <v>299</v>
      </c>
      <c r="J369" s="149" t="s">
        <v>3774</v>
      </c>
      <c r="K369" s="101" t="str">
        <f t="shared" si="27"/>
        <v>93</v>
      </c>
      <c r="L369" s="101" t="str">
        <f t="shared" si="28"/>
        <v>11</v>
      </c>
      <c r="M369" s="101" t="str">
        <f t="shared" si="29"/>
        <v>27</v>
      </c>
    </row>
    <row r="370" spans="1:13">
      <c r="A370" t="str">
        <f t="shared" si="25"/>
        <v>岡山理科大学2369男</v>
      </c>
      <c r="B370" s="149" t="s">
        <v>1690</v>
      </c>
      <c r="C370" s="149">
        <v>2369</v>
      </c>
      <c r="D370" s="149" t="s">
        <v>1697</v>
      </c>
      <c r="E370" s="149" t="s">
        <v>1698</v>
      </c>
      <c r="F370" s="149" t="s">
        <v>260</v>
      </c>
      <c r="G370" s="149" t="s">
        <v>143</v>
      </c>
      <c r="H370" s="151" t="str">
        <f t="shared" si="26"/>
        <v>1994/02/09</v>
      </c>
      <c r="I370" s="149" t="s">
        <v>299</v>
      </c>
      <c r="J370" s="149" t="s">
        <v>550</v>
      </c>
      <c r="K370" s="101" t="str">
        <f t="shared" si="27"/>
        <v>94</v>
      </c>
      <c r="L370" s="101" t="str">
        <f t="shared" si="28"/>
        <v>02</v>
      </c>
      <c r="M370" s="101" t="str">
        <f t="shared" si="29"/>
        <v>09</v>
      </c>
    </row>
    <row r="371" spans="1:13">
      <c r="A371" t="str">
        <f t="shared" si="25"/>
        <v>岡山理科大学2370男</v>
      </c>
      <c r="B371" s="149" t="s">
        <v>1690</v>
      </c>
      <c r="C371" s="149">
        <v>2370</v>
      </c>
      <c r="D371" s="149" t="s">
        <v>1699</v>
      </c>
      <c r="E371" s="149" t="s">
        <v>1700</v>
      </c>
      <c r="F371" s="149" t="s">
        <v>260</v>
      </c>
      <c r="G371" s="149" t="s">
        <v>143</v>
      </c>
      <c r="H371" s="151" t="str">
        <f t="shared" si="26"/>
        <v>1994/01/15</v>
      </c>
      <c r="I371" s="149" t="s">
        <v>299</v>
      </c>
      <c r="J371" s="149" t="s">
        <v>3725</v>
      </c>
      <c r="K371" s="101" t="str">
        <f t="shared" si="27"/>
        <v>94</v>
      </c>
      <c r="L371" s="101" t="str">
        <f t="shared" si="28"/>
        <v>01</v>
      </c>
      <c r="M371" s="101" t="str">
        <f t="shared" si="29"/>
        <v>15</v>
      </c>
    </row>
    <row r="372" spans="1:13">
      <c r="A372" t="str">
        <f t="shared" si="25"/>
        <v>岡山理科大学2371男</v>
      </c>
      <c r="B372" s="149" t="s">
        <v>1690</v>
      </c>
      <c r="C372" s="149">
        <v>2371</v>
      </c>
      <c r="D372" s="149" t="s">
        <v>1701</v>
      </c>
      <c r="E372" s="149" t="s">
        <v>1702</v>
      </c>
      <c r="F372" s="149" t="s">
        <v>260</v>
      </c>
      <c r="G372" s="149" t="s">
        <v>143</v>
      </c>
      <c r="H372" s="151" t="str">
        <f t="shared" si="26"/>
        <v>1993/07/26</v>
      </c>
      <c r="I372" s="149" t="s">
        <v>299</v>
      </c>
      <c r="J372" s="149" t="s">
        <v>889</v>
      </c>
      <c r="K372" s="101" t="str">
        <f t="shared" si="27"/>
        <v>93</v>
      </c>
      <c r="L372" s="101" t="str">
        <f t="shared" si="28"/>
        <v>07</v>
      </c>
      <c r="M372" s="101" t="str">
        <f t="shared" si="29"/>
        <v>26</v>
      </c>
    </row>
    <row r="373" spans="1:13">
      <c r="A373" t="str">
        <f t="shared" si="25"/>
        <v>岡山理科大学2372男</v>
      </c>
      <c r="B373" s="149" t="s">
        <v>1690</v>
      </c>
      <c r="C373" s="149">
        <v>2372</v>
      </c>
      <c r="D373" s="149" t="s">
        <v>1703</v>
      </c>
      <c r="E373" s="149" t="s">
        <v>1704</v>
      </c>
      <c r="F373" s="149" t="s">
        <v>260</v>
      </c>
      <c r="G373" s="149" t="s">
        <v>143</v>
      </c>
      <c r="H373" s="151" t="str">
        <f t="shared" si="26"/>
        <v>1994/01/21</v>
      </c>
      <c r="I373" s="149" t="s">
        <v>299</v>
      </c>
      <c r="J373" s="149" t="s">
        <v>563</v>
      </c>
      <c r="K373" s="101" t="str">
        <f t="shared" si="27"/>
        <v>94</v>
      </c>
      <c r="L373" s="101" t="str">
        <f t="shared" si="28"/>
        <v>01</v>
      </c>
      <c r="M373" s="101" t="str">
        <f t="shared" si="29"/>
        <v>21</v>
      </c>
    </row>
    <row r="374" spans="1:13">
      <c r="A374" t="str">
        <f t="shared" si="25"/>
        <v>岡山理科大学2373男</v>
      </c>
      <c r="B374" s="149" t="s">
        <v>1690</v>
      </c>
      <c r="C374" s="149">
        <v>2373</v>
      </c>
      <c r="D374" s="149" t="s">
        <v>1705</v>
      </c>
      <c r="E374" s="149" t="s">
        <v>1706</v>
      </c>
      <c r="F374" s="149" t="s">
        <v>265</v>
      </c>
      <c r="G374" s="149" t="s">
        <v>143</v>
      </c>
      <c r="H374" s="151" t="str">
        <f t="shared" si="26"/>
        <v>1994/08/25</v>
      </c>
      <c r="I374" s="149" t="s">
        <v>299</v>
      </c>
      <c r="J374" s="149" t="s">
        <v>658</v>
      </c>
      <c r="K374" s="101" t="str">
        <f t="shared" si="27"/>
        <v>94</v>
      </c>
      <c r="L374" s="101" t="str">
        <f t="shared" si="28"/>
        <v>08</v>
      </c>
      <c r="M374" s="101" t="str">
        <f t="shared" si="29"/>
        <v>25</v>
      </c>
    </row>
    <row r="375" spans="1:13">
      <c r="A375" t="str">
        <f t="shared" si="25"/>
        <v>岡山理科大学2374男</v>
      </c>
      <c r="B375" s="149" t="s">
        <v>1690</v>
      </c>
      <c r="C375" s="149">
        <v>2374</v>
      </c>
      <c r="D375" s="149" t="s">
        <v>1707</v>
      </c>
      <c r="E375" s="149" t="s">
        <v>1708</v>
      </c>
      <c r="F375" s="149" t="s">
        <v>265</v>
      </c>
      <c r="G375" s="149" t="s">
        <v>143</v>
      </c>
      <c r="H375" s="151" t="str">
        <f t="shared" si="26"/>
        <v>1994/05/16</v>
      </c>
      <c r="I375" s="149" t="s">
        <v>299</v>
      </c>
      <c r="J375" s="149" t="s">
        <v>791</v>
      </c>
      <c r="K375" s="101" t="str">
        <f t="shared" si="27"/>
        <v>94</v>
      </c>
      <c r="L375" s="101" t="str">
        <f t="shared" si="28"/>
        <v>05</v>
      </c>
      <c r="M375" s="101" t="str">
        <f t="shared" si="29"/>
        <v>16</v>
      </c>
    </row>
    <row r="376" spans="1:13">
      <c r="A376" t="str">
        <f t="shared" si="25"/>
        <v>岡山理科大学2375男</v>
      </c>
      <c r="B376" s="149" t="s">
        <v>1690</v>
      </c>
      <c r="C376" s="149">
        <v>2375</v>
      </c>
      <c r="D376" s="149" t="s">
        <v>1709</v>
      </c>
      <c r="E376" s="149" t="s">
        <v>1710</v>
      </c>
      <c r="F376" s="149" t="s">
        <v>265</v>
      </c>
      <c r="G376" s="149" t="s">
        <v>143</v>
      </c>
      <c r="H376" s="151" t="str">
        <f t="shared" si="26"/>
        <v>1994/06/17</v>
      </c>
      <c r="I376" s="149" t="s">
        <v>299</v>
      </c>
      <c r="J376" s="149" t="s">
        <v>464</v>
      </c>
      <c r="K376" s="101" t="str">
        <f t="shared" si="27"/>
        <v>94</v>
      </c>
      <c r="L376" s="101" t="str">
        <f t="shared" si="28"/>
        <v>06</v>
      </c>
      <c r="M376" s="101" t="str">
        <f t="shared" si="29"/>
        <v>17</v>
      </c>
    </row>
    <row r="377" spans="1:13">
      <c r="A377" t="str">
        <f t="shared" si="25"/>
        <v>岡山理科大学2376男</v>
      </c>
      <c r="B377" s="149" t="s">
        <v>1690</v>
      </c>
      <c r="C377" s="149">
        <v>2376</v>
      </c>
      <c r="D377" s="149" t="s">
        <v>1711</v>
      </c>
      <c r="E377" s="149" t="s">
        <v>1712</v>
      </c>
      <c r="F377" s="149" t="s">
        <v>265</v>
      </c>
      <c r="G377" s="149" t="s">
        <v>143</v>
      </c>
      <c r="H377" s="151" t="str">
        <f t="shared" si="26"/>
        <v>1994/04/10</v>
      </c>
      <c r="I377" s="149" t="s">
        <v>299</v>
      </c>
      <c r="J377" s="149" t="s">
        <v>3775</v>
      </c>
      <c r="K377" s="101" t="str">
        <f t="shared" si="27"/>
        <v>94</v>
      </c>
      <c r="L377" s="101" t="str">
        <f t="shared" si="28"/>
        <v>04</v>
      </c>
      <c r="M377" s="101" t="str">
        <f t="shared" si="29"/>
        <v>10</v>
      </c>
    </row>
    <row r="378" spans="1:13">
      <c r="A378" t="str">
        <f t="shared" si="25"/>
        <v>岡山理科大学2377男</v>
      </c>
      <c r="B378" s="149" t="s">
        <v>1690</v>
      </c>
      <c r="C378" s="149">
        <v>2377</v>
      </c>
      <c r="D378" s="149" t="s">
        <v>1713</v>
      </c>
      <c r="E378" s="149" t="s">
        <v>1714</v>
      </c>
      <c r="F378" s="149" t="s">
        <v>265</v>
      </c>
      <c r="G378" s="149" t="s">
        <v>143</v>
      </c>
      <c r="H378" s="151" t="str">
        <f t="shared" si="26"/>
        <v>1994/06/10</v>
      </c>
      <c r="I378" s="149" t="s">
        <v>299</v>
      </c>
      <c r="J378" s="149" t="s">
        <v>686</v>
      </c>
      <c r="K378" s="101" t="str">
        <f t="shared" si="27"/>
        <v>94</v>
      </c>
      <c r="L378" s="101" t="str">
        <f t="shared" si="28"/>
        <v>06</v>
      </c>
      <c r="M378" s="101" t="str">
        <f t="shared" si="29"/>
        <v>10</v>
      </c>
    </row>
    <row r="379" spans="1:13">
      <c r="A379" t="str">
        <f t="shared" si="25"/>
        <v>岡山理科大学2378男</v>
      </c>
      <c r="B379" s="149" t="s">
        <v>1690</v>
      </c>
      <c r="C379" s="149">
        <v>2378</v>
      </c>
      <c r="D379" s="149" t="s">
        <v>1715</v>
      </c>
      <c r="E379" s="149" t="s">
        <v>1716</v>
      </c>
      <c r="F379" s="149" t="s">
        <v>265</v>
      </c>
      <c r="G379" s="149" t="s">
        <v>143</v>
      </c>
      <c r="H379" s="151" t="str">
        <f t="shared" si="26"/>
        <v>1994/09/04</v>
      </c>
      <c r="I379" s="149" t="s">
        <v>299</v>
      </c>
      <c r="J379" s="149" t="s">
        <v>866</v>
      </c>
      <c r="K379" s="101" t="str">
        <f t="shared" si="27"/>
        <v>94</v>
      </c>
      <c r="L379" s="101" t="str">
        <f t="shared" si="28"/>
        <v>09</v>
      </c>
      <c r="M379" s="101" t="str">
        <f t="shared" si="29"/>
        <v>04</v>
      </c>
    </row>
    <row r="380" spans="1:13">
      <c r="A380" t="str">
        <f t="shared" si="25"/>
        <v>岡山理科大学2379男</v>
      </c>
      <c r="B380" s="149" t="s">
        <v>1690</v>
      </c>
      <c r="C380" s="149">
        <v>2379</v>
      </c>
      <c r="D380" s="149" t="s">
        <v>1717</v>
      </c>
      <c r="E380" s="149" t="s">
        <v>1718</v>
      </c>
      <c r="F380" s="149" t="s">
        <v>265</v>
      </c>
      <c r="G380" s="149" t="s">
        <v>143</v>
      </c>
      <c r="H380" s="151" t="str">
        <f t="shared" si="26"/>
        <v>1994/04/22</v>
      </c>
      <c r="I380" s="149" t="s">
        <v>299</v>
      </c>
      <c r="J380" s="149" t="s">
        <v>402</v>
      </c>
      <c r="K380" s="101" t="str">
        <f t="shared" si="27"/>
        <v>94</v>
      </c>
      <c r="L380" s="101" t="str">
        <f t="shared" si="28"/>
        <v>04</v>
      </c>
      <c r="M380" s="101" t="str">
        <f t="shared" si="29"/>
        <v>22</v>
      </c>
    </row>
    <row r="381" spans="1:13">
      <c r="A381" t="str">
        <f t="shared" si="25"/>
        <v>岡山理科大学2380男</v>
      </c>
      <c r="B381" s="149" t="s">
        <v>1690</v>
      </c>
      <c r="C381" s="149">
        <v>2380</v>
      </c>
      <c r="D381" s="149" t="s">
        <v>1719</v>
      </c>
      <c r="E381" s="149" t="s">
        <v>1720</v>
      </c>
      <c r="F381" s="149" t="s">
        <v>267</v>
      </c>
      <c r="G381" s="149" t="s">
        <v>143</v>
      </c>
      <c r="H381" s="151" t="str">
        <f t="shared" si="26"/>
        <v>1996/01/06</v>
      </c>
      <c r="I381" s="149" t="s">
        <v>299</v>
      </c>
      <c r="J381" s="149" t="s">
        <v>3776</v>
      </c>
      <c r="K381" s="101" t="str">
        <f t="shared" si="27"/>
        <v>96</v>
      </c>
      <c r="L381" s="101" t="str">
        <f t="shared" si="28"/>
        <v>01</v>
      </c>
      <c r="M381" s="101" t="str">
        <f t="shared" si="29"/>
        <v>06</v>
      </c>
    </row>
    <row r="382" spans="1:13">
      <c r="A382" t="str">
        <f t="shared" si="25"/>
        <v>岡山理科大学2381男</v>
      </c>
      <c r="B382" s="149" t="s">
        <v>1690</v>
      </c>
      <c r="C382" s="149">
        <v>2381</v>
      </c>
      <c r="D382" s="149" t="s">
        <v>1721</v>
      </c>
      <c r="E382" s="149" t="s">
        <v>1722</v>
      </c>
      <c r="F382" s="149" t="s">
        <v>267</v>
      </c>
      <c r="G382" s="149" t="s">
        <v>143</v>
      </c>
      <c r="H382" s="151" t="str">
        <f t="shared" si="26"/>
        <v>1995/04/28</v>
      </c>
      <c r="I382" s="149" t="s">
        <v>299</v>
      </c>
      <c r="J382" s="149" t="s">
        <v>555</v>
      </c>
      <c r="K382" s="101" t="str">
        <f t="shared" si="27"/>
        <v>95</v>
      </c>
      <c r="L382" s="101" t="str">
        <f t="shared" si="28"/>
        <v>04</v>
      </c>
      <c r="M382" s="101" t="str">
        <f t="shared" si="29"/>
        <v>28</v>
      </c>
    </row>
    <row r="383" spans="1:13">
      <c r="A383" t="str">
        <f t="shared" si="25"/>
        <v>岡山理科大学2382男</v>
      </c>
      <c r="B383" s="149" t="s">
        <v>1690</v>
      </c>
      <c r="C383" s="149">
        <v>2382</v>
      </c>
      <c r="D383" s="149" t="s">
        <v>1723</v>
      </c>
      <c r="E383" s="149" t="s">
        <v>1724</v>
      </c>
      <c r="F383" s="149" t="s">
        <v>267</v>
      </c>
      <c r="G383" s="149" t="s">
        <v>143</v>
      </c>
      <c r="H383" s="151" t="str">
        <f t="shared" si="26"/>
        <v>1995/06/09</v>
      </c>
      <c r="I383" s="149" t="s">
        <v>299</v>
      </c>
      <c r="J383" s="149" t="s">
        <v>533</v>
      </c>
      <c r="K383" s="101" t="str">
        <f t="shared" si="27"/>
        <v>95</v>
      </c>
      <c r="L383" s="101" t="str">
        <f t="shared" si="28"/>
        <v>06</v>
      </c>
      <c r="M383" s="101" t="str">
        <f t="shared" si="29"/>
        <v>09</v>
      </c>
    </row>
    <row r="384" spans="1:13">
      <c r="A384" t="str">
        <f t="shared" si="25"/>
        <v>岡山理科大学2383男</v>
      </c>
      <c r="B384" s="149" t="s">
        <v>1690</v>
      </c>
      <c r="C384" s="149">
        <v>2383</v>
      </c>
      <c r="D384" s="149" t="s">
        <v>1725</v>
      </c>
      <c r="E384" s="149" t="s">
        <v>1726</v>
      </c>
      <c r="F384" s="149" t="s">
        <v>267</v>
      </c>
      <c r="G384" s="149" t="s">
        <v>143</v>
      </c>
      <c r="H384" s="151" t="str">
        <f t="shared" si="26"/>
        <v>1995/11/18</v>
      </c>
      <c r="I384" s="149" t="s">
        <v>299</v>
      </c>
      <c r="J384" s="149" t="s">
        <v>354</v>
      </c>
      <c r="K384" s="101" t="str">
        <f t="shared" si="27"/>
        <v>95</v>
      </c>
      <c r="L384" s="101" t="str">
        <f t="shared" si="28"/>
        <v>11</v>
      </c>
      <c r="M384" s="101" t="str">
        <f t="shared" si="29"/>
        <v>18</v>
      </c>
    </row>
    <row r="385" spans="1:13">
      <c r="A385" t="str">
        <f t="shared" si="25"/>
        <v>美作大学2384男</v>
      </c>
      <c r="B385" s="149" t="s">
        <v>1727</v>
      </c>
      <c r="C385" s="149">
        <v>2384</v>
      </c>
      <c r="D385" s="149" t="s">
        <v>1728</v>
      </c>
      <c r="E385" s="149" t="s">
        <v>1729</v>
      </c>
      <c r="F385" s="149" t="s">
        <v>260</v>
      </c>
      <c r="G385" s="149" t="s">
        <v>143</v>
      </c>
      <c r="H385" s="151" t="str">
        <f t="shared" si="26"/>
        <v>1993/08/14</v>
      </c>
      <c r="I385" s="149" t="s">
        <v>299</v>
      </c>
      <c r="J385" s="149" t="s">
        <v>691</v>
      </c>
      <c r="K385" s="101" t="str">
        <f t="shared" si="27"/>
        <v>93</v>
      </c>
      <c r="L385" s="101" t="str">
        <f t="shared" si="28"/>
        <v>08</v>
      </c>
      <c r="M385" s="101" t="str">
        <f t="shared" si="29"/>
        <v>14</v>
      </c>
    </row>
    <row r="386" spans="1:13">
      <c r="A386" t="str">
        <f t="shared" ref="A386:A449" si="30">B386&amp;C386&amp;G386</f>
        <v>美作大学2385男</v>
      </c>
      <c r="B386" s="149" t="s">
        <v>1727</v>
      </c>
      <c r="C386" s="149">
        <v>2385</v>
      </c>
      <c r="D386" s="149" t="s">
        <v>1730</v>
      </c>
      <c r="E386" s="149" t="s">
        <v>1731</v>
      </c>
      <c r="F386" s="149" t="s">
        <v>260</v>
      </c>
      <c r="G386" s="149" t="s">
        <v>143</v>
      </c>
      <c r="H386" s="151" t="str">
        <f t="shared" si="26"/>
        <v>1993/09/03</v>
      </c>
      <c r="I386" s="149" t="s">
        <v>302</v>
      </c>
      <c r="J386" s="149" t="s">
        <v>3724</v>
      </c>
      <c r="K386" s="101" t="str">
        <f t="shared" si="27"/>
        <v>93</v>
      </c>
      <c r="L386" s="101" t="str">
        <f t="shared" si="28"/>
        <v>09</v>
      </c>
      <c r="M386" s="101" t="str">
        <f t="shared" si="29"/>
        <v>03</v>
      </c>
    </row>
    <row r="387" spans="1:13">
      <c r="A387" t="str">
        <f t="shared" si="30"/>
        <v>美作大学2386男</v>
      </c>
      <c r="B387" s="149" t="s">
        <v>1727</v>
      </c>
      <c r="C387" s="149">
        <v>2386</v>
      </c>
      <c r="D387" s="149" t="s">
        <v>1732</v>
      </c>
      <c r="E387" s="149" t="s">
        <v>1733</v>
      </c>
      <c r="F387" s="149" t="s">
        <v>260</v>
      </c>
      <c r="G387" s="149" t="s">
        <v>143</v>
      </c>
      <c r="H387" s="151" t="str">
        <f t="shared" ref="H387:H450" si="31">"19"&amp;K387&amp;"/"&amp;L387&amp;"/"&amp;M387</f>
        <v>1993/10/16</v>
      </c>
      <c r="I387" s="149" t="s">
        <v>281</v>
      </c>
      <c r="J387" s="149" t="s">
        <v>690</v>
      </c>
      <c r="K387" s="101" t="str">
        <f t="shared" ref="K387:K450" si="32">MID(J387,1,2)</f>
        <v>93</v>
      </c>
      <c r="L387" s="101" t="str">
        <f t="shared" ref="L387:L450" si="33">MID(J387,3,2)</f>
        <v>10</v>
      </c>
      <c r="M387" s="101" t="str">
        <f t="shared" ref="M387:M450" si="34">MID(J387,5,2)</f>
        <v>16</v>
      </c>
    </row>
    <row r="388" spans="1:13">
      <c r="A388" t="str">
        <f t="shared" si="30"/>
        <v>美作大学2387男</v>
      </c>
      <c r="B388" s="149" t="s">
        <v>1727</v>
      </c>
      <c r="C388" s="149">
        <v>2387</v>
      </c>
      <c r="D388" s="149" t="s">
        <v>1734</v>
      </c>
      <c r="E388" s="149" t="s">
        <v>1735</v>
      </c>
      <c r="F388" s="149" t="s">
        <v>265</v>
      </c>
      <c r="G388" s="149" t="s">
        <v>143</v>
      </c>
      <c r="H388" s="151" t="str">
        <f t="shared" si="31"/>
        <v>1994/04/27</v>
      </c>
      <c r="I388" s="149" t="s">
        <v>299</v>
      </c>
      <c r="J388" s="149" t="s">
        <v>376</v>
      </c>
      <c r="K388" s="101" t="str">
        <f t="shared" si="32"/>
        <v>94</v>
      </c>
      <c r="L388" s="101" t="str">
        <f t="shared" si="33"/>
        <v>04</v>
      </c>
      <c r="M388" s="101" t="str">
        <f t="shared" si="34"/>
        <v>27</v>
      </c>
    </row>
    <row r="389" spans="1:13">
      <c r="A389" t="str">
        <f t="shared" si="30"/>
        <v>美作大学2388男</v>
      </c>
      <c r="B389" s="149" t="s">
        <v>1727</v>
      </c>
      <c r="C389" s="149">
        <v>2388</v>
      </c>
      <c r="D389" s="149" t="s">
        <v>1736</v>
      </c>
      <c r="E389" s="149" t="s">
        <v>1737</v>
      </c>
      <c r="F389" s="149" t="s">
        <v>265</v>
      </c>
      <c r="G389" s="149" t="s">
        <v>143</v>
      </c>
      <c r="H389" s="151" t="str">
        <f t="shared" si="31"/>
        <v>1994/08/02</v>
      </c>
      <c r="I389" s="149" t="s">
        <v>299</v>
      </c>
      <c r="J389" s="149" t="s">
        <v>703</v>
      </c>
      <c r="K389" s="101" t="str">
        <f t="shared" si="32"/>
        <v>94</v>
      </c>
      <c r="L389" s="101" t="str">
        <f t="shared" si="33"/>
        <v>08</v>
      </c>
      <c r="M389" s="101" t="str">
        <f t="shared" si="34"/>
        <v>02</v>
      </c>
    </row>
    <row r="390" spans="1:13">
      <c r="A390" t="str">
        <f t="shared" si="30"/>
        <v>美作大学2389男</v>
      </c>
      <c r="B390" s="149" t="s">
        <v>1727</v>
      </c>
      <c r="C390" s="149">
        <v>2389</v>
      </c>
      <c r="D390" s="149" t="s">
        <v>1738</v>
      </c>
      <c r="E390" s="149" t="s">
        <v>1739</v>
      </c>
      <c r="F390" s="149" t="s">
        <v>265</v>
      </c>
      <c r="G390" s="149" t="s">
        <v>143</v>
      </c>
      <c r="H390" s="151" t="str">
        <f t="shared" si="31"/>
        <v>1994/09/19</v>
      </c>
      <c r="I390" s="149" t="s">
        <v>299</v>
      </c>
      <c r="J390" s="149" t="s">
        <v>418</v>
      </c>
      <c r="K390" s="101" t="str">
        <f t="shared" si="32"/>
        <v>94</v>
      </c>
      <c r="L390" s="101" t="str">
        <f t="shared" si="33"/>
        <v>09</v>
      </c>
      <c r="M390" s="101" t="str">
        <f t="shared" si="34"/>
        <v>19</v>
      </c>
    </row>
    <row r="391" spans="1:13">
      <c r="A391" t="str">
        <f t="shared" si="30"/>
        <v>美作大学2390男</v>
      </c>
      <c r="B391" s="149" t="s">
        <v>1727</v>
      </c>
      <c r="C391" s="149">
        <v>2390</v>
      </c>
      <c r="D391" s="149" t="s">
        <v>1740</v>
      </c>
      <c r="E391" s="149" t="s">
        <v>1741</v>
      </c>
      <c r="F391" s="149" t="s">
        <v>265</v>
      </c>
      <c r="G391" s="149" t="s">
        <v>143</v>
      </c>
      <c r="H391" s="151" t="str">
        <f t="shared" si="31"/>
        <v>1994/09/23</v>
      </c>
      <c r="I391" s="149" t="s">
        <v>299</v>
      </c>
      <c r="J391" s="149" t="s">
        <v>3777</v>
      </c>
      <c r="K391" s="101" t="str">
        <f t="shared" si="32"/>
        <v>94</v>
      </c>
      <c r="L391" s="101" t="str">
        <f t="shared" si="33"/>
        <v>09</v>
      </c>
      <c r="M391" s="101" t="str">
        <f t="shared" si="34"/>
        <v>23</v>
      </c>
    </row>
    <row r="392" spans="1:13">
      <c r="A392" t="str">
        <f t="shared" si="30"/>
        <v>美作大学2391男</v>
      </c>
      <c r="B392" s="149" t="s">
        <v>1727</v>
      </c>
      <c r="C392" s="149">
        <v>2391</v>
      </c>
      <c r="D392" s="149" t="s">
        <v>1742</v>
      </c>
      <c r="E392" s="149" t="s">
        <v>1743</v>
      </c>
      <c r="F392" s="149" t="s">
        <v>267</v>
      </c>
      <c r="G392" s="149" t="s">
        <v>143</v>
      </c>
      <c r="H392" s="151" t="str">
        <f t="shared" si="31"/>
        <v>1995/05/12</v>
      </c>
      <c r="I392" s="149" t="s">
        <v>299</v>
      </c>
      <c r="J392" s="149" t="s">
        <v>900</v>
      </c>
      <c r="K392" s="101" t="str">
        <f t="shared" si="32"/>
        <v>95</v>
      </c>
      <c r="L392" s="101" t="str">
        <f t="shared" si="33"/>
        <v>05</v>
      </c>
      <c r="M392" s="101" t="str">
        <f t="shared" si="34"/>
        <v>12</v>
      </c>
    </row>
    <row r="393" spans="1:13">
      <c r="A393" t="str">
        <f t="shared" si="30"/>
        <v>美作大学2392男</v>
      </c>
      <c r="B393" s="149" t="s">
        <v>1727</v>
      </c>
      <c r="C393" s="149">
        <v>2392</v>
      </c>
      <c r="D393" s="149" t="s">
        <v>1744</v>
      </c>
      <c r="E393" s="149" t="s">
        <v>1745</v>
      </c>
      <c r="F393" s="149" t="s">
        <v>267</v>
      </c>
      <c r="G393" s="149" t="s">
        <v>143</v>
      </c>
      <c r="H393" s="151" t="str">
        <f t="shared" si="31"/>
        <v>1995/05/07</v>
      </c>
      <c r="I393" s="149" t="s">
        <v>299</v>
      </c>
      <c r="J393" s="149" t="s">
        <v>694</v>
      </c>
      <c r="K393" s="101" t="str">
        <f t="shared" si="32"/>
        <v>95</v>
      </c>
      <c r="L393" s="101" t="str">
        <f t="shared" si="33"/>
        <v>05</v>
      </c>
      <c r="M393" s="101" t="str">
        <f t="shared" si="34"/>
        <v>07</v>
      </c>
    </row>
    <row r="394" spans="1:13">
      <c r="A394" t="str">
        <f t="shared" si="30"/>
        <v>美作大学2393男</v>
      </c>
      <c r="B394" s="149" t="s">
        <v>1727</v>
      </c>
      <c r="C394" s="149">
        <v>2393</v>
      </c>
      <c r="D394" s="149" t="s">
        <v>1746</v>
      </c>
      <c r="E394" s="149" t="s">
        <v>1747</v>
      </c>
      <c r="F394" s="149" t="s">
        <v>280</v>
      </c>
      <c r="G394" s="149" t="s">
        <v>143</v>
      </c>
      <c r="H394" s="151" t="str">
        <f t="shared" si="31"/>
        <v>1996/11/07</v>
      </c>
      <c r="I394" s="149" t="s">
        <v>299</v>
      </c>
      <c r="J394" s="149" t="s">
        <v>3778</v>
      </c>
      <c r="K394" s="101" t="str">
        <f t="shared" si="32"/>
        <v>96</v>
      </c>
      <c r="L394" s="101" t="str">
        <f t="shared" si="33"/>
        <v>11</v>
      </c>
      <c r="M394" s="101" t="str">
        <f t="shared" si="34"/>
        <v>07</v>
      </c>
    </row>
    <row r="395" spans="1:13">
      <c r="A395" t="str">
        <f t="shared" si="30"/>
        <v>美作大学2394男</v>
      </c>
      <c r="B395" s="149" t="s">
        <v>1727</v>
      </c>
      <c r="C395" s="149">
        <v>2394</v>
      </c>
      <c r="D395" s="149" t="s">
        <v>1748</v>
      </c>
      <c r="E395" s="149" t="s">
        <v>1749</v>
      </c>
      <c r="F395" s="149" t="s">
        <v>280</v>
      </c>
      <c r="G395" s="149" t="s">
        <v>143</v>
      </c>
      <c r="H395" s="151" t="str">
        <f t="shared" si="31"/>
        <v>1996/09/18</v>
      </c>
      <c r="I395" s="149" t="s">
        <v>295</v>
      </c>
      <c r="J395" s="149" t="s">
        <v>765</v>
      </c>
      <c r="K395" s="101" t="str">
        <f t="shared" si="32"/>
        <v>96</v>
      </c>
      <c r="L395" s="101" t="str">
        <f t="shared" si="33"/>
        <v>09</v>
      </c>
      <c r="M395" s="101" t="str">
        <f t="shared" si="34"/>
        <v>18</v>
      </c>
    </row>
    <row r="396" spans="1:13">
      <c r="A396" t="str">
        <f t="shared" si="30"/>
        <v>美作大学2395男</v>
      </c>
      <c r="B396" s="149" t="s">
        <v>1727</v>
      </c>
      <c r="C396" s="149">
        <v>2395</v>
      </c>
      <c r="D396" s="149" t="s">
        <v>1750</v>
      </c>
      <c r="E396" s="149" t="s">
        <v>1751</v>
      </c>
      <c r="F396" s="149" t="s">
        <v>280</v>
      </c>
      <c r="G396" s="149" t="s">
        <v>143</v>
      </c>
      <c r="H396" s="151" t="str">
        <f t="shared" si="31"/>
        <v>1996/04/17</v>
      </c>
      <c r="I396" s="149" t="s">
        <v>302</v>
      </c>
      <c r="J396" s="149" t="s">
        <v>649</v>
      </c>
      <c r="K396" s="101" t="str">
        <f t="shared" si="32"/>
        <v>96</v>
      </c>
      <c r="L396" s="101" t="str">
        <f t="shared" si="33"/>
        <v>04</v>
      </c>
      <c r="M396" s="101" t="str">
        <f t="shared" si="34"/>
        <v>17</v>
      </c>
    </row>
    <row r="397" spans="1:13">
      <c r="A397" t="str">
        <f t="shared" si="30"/>
        <v>美作大学2396男</v>
      </c>
      <c r="B397" s="149" t="s">
        <v>1727</v>
      </c>
      <c r="C397" s="149">
        <v>2396</v>
      </c>
      <c r="D397" s="149" t="s">
        <v>1752</v>
      </c>
      <c r="E397" s="149" t="s">
        <v>1753</v>
      </c>
      <c r="F397" s="149" t="s">
        <v>260</v>
      </c>
      <c r="G397" s="149" t="s">
        <v>143</v>
      </c>
      <c r="H397" s="151" t="str">
        <f t="shared" si="31"/>
        <v>1992/04/26</v>
      </c>
      <c r="I397" s="149" t="s">
        <v>302</v>
      </c>
      <c r="J397" s="149" t="s">
        <v>3779</v>
      </c>
      <c r="K397" s="101" t="str">
        <f t="shared" si="32"/>
        <v>92</v>
      </c>
      <c r="L397" s="101" t="str">
        <f t="shared" si="33"/>
        <v>04</v>
      </c>
      <c r="M397" s="101" t="str">
        <f t="shared" si="34"/>
        <v>26</v>
      </c>
    </row>
    <row r="398" spans="1:13">
      <c r="A398" t="str">
        <f t="shared" si="30"/>
        <v>津山工業高等専門学校2397男</v>
      </c>
      <c r="B398" s="149" t="s">
        <v>1754</v>
      </c>
      <c r="C398" s="149">
        <v>2397</v>
      </c>
      <c r="D398" s="149" t="s">
        <v>1755</v>
      </c>
      <c r="E398" s="149" t="s">
        <v>1756</v>
      </c>
      <c r="F398" s="149" t="s">
        <v>293</v>
      </c>
      <c r="G398" s="149" t="s">
        <v>143</v>
      </c>
      <c r="H398" s="151" t="str">
        <f t="shared" si="31"/>
        <v>1995/06/13</v>
      </c>
      <c r="I398" s="149" t="s">
        <v>299</v>
      </c>
      <c r="J398" s="149" t="s">
        <v>621</v>
      </c>
      <c r="K398" s="101" t="str">
        <f t="shared" si="32"/>
        <v>95</v>
      </c>
      <c r="L398" s="101" t="str">
        <f t="shared" si="33"/>
        <v>06</v>
      </c>
      <c r="M398" s="101" t="str">
        <f t="shared" si="34"/>
        <v>13</v>
      </c>
    </row>
    <row r="399" spans="1:13">
      <c r="A399" t="str">
        <f t="shared" si="30"/>
        <v>津山工業高等専門学校2398男</v>
      </c>
      <c r="B399" s="149" t="s">
        <v>1754</v>
      </c>
      <c r="C399" s="149">
        <v>2398</v>
      </c>
      <c r="D399" s="149" t="s">
        <v>1757</v>
      </c>
      <c r="E399" s="149" t="s">
        <v>1758</v>
      </c>
      <c r="F399" s="149" t="s">
        <v>260</v>
      </c>
      <c r="G399" s="149" t="s">
        <v>143</v>
      </c>
      <c r="H399" s="151" t="str">
        <f t="shared" si="31"/>
        <v>1995/04/02</v>
      </c>
      <c r="I399" s="149" t="s">
        <v>299</v>
      </c>
      <c r="J399" s="149" t="s">
        <v>356</v>
      </c>
      <c r="K399" s="101" t="str">
        <f t="shared" si="32"/>
        <v>95</v>
      </c>
      <c r="L399" s="101" t="str">
        <f t="shared" si="33"/>
        <v>04</v>
      </c>
      <c r="M399" s="101" t="str">
        <f t="shared" si="34"/>
        <v>02</v>
      </c>
    </row>
    <row r="400" spans="1:13">
      <c r="A400" t="str">
        <f t="shared" si="30"/>
        <v>津山工業高等専門学校2399男</v>
      </c>
      <c r="B400" s="149" t="s">
        <v>1754</v>
      </c>
      <c r="C400" s="149">
        <v>2399</v>
      </c>
      <c r="D400" s="149" t="s">
        <v>1759</v>
      </c>
      <c r="E400" s="149" t="s">
        <v>1760</v>
      </c>
      <c r="F400" s="149" t="s">
        <v>293</v>
      </c>
      <c r="G400" s="149" t="s">
        <v>143</v>
      </c>
      <c r="H400" s="151" t="str">
        <f t="shared" si="31"/>
        <v>1995/04/15</v>
      </c>
      <c r="I400" s="149" t="s">
        <v>299</v>
      </c>
      <c r="J400" s="149" t="s">
        <v>624</v>
      </c>
      <c r="K400" s="101" t="str">
        <f t="shared" si="32"/>
        <v>95</v>
      </c>
      <c r="L400" s="101" t="str">
        <f t="shared" si="33"/>
        <v>04</v>
      </c>
      <c r="M400" s="101" t="str">
        <f t="shared" si="34"/>
        <v>15</v>
      </c>
    </row>
    <row r="401" spans="1:13">
      <c r="A401" t="str">
        <f t="shared" si="30"/>
        <v>津山工業高等専門学校2400男</v>
      </c>
      <c r="B401" s="149" t="s">
        <v>1754</v>
      </c>
      <c r="C401" s="149">
        <v>2400</v>
      </c>
      <c r="D401" s="149" t="s">
        <v>1761</v>
      </c>
      <c r="E401" s="149" t="s">
        <v>1762</v>
      </c>
      <c r="F401" s="149" t="s">
        <v>293</v>
      </c>
      <c r="G401" s="149" t="s">
        <v>143</v>
      </c>
      <c r="H401" s="151" t="str">
        <f t="shared" si="31"/>
        <v>1995/10/25</v>
      </c>
      <c r="I401" s="149" t="s">
        <v>299</v>
      </c>
      <c r="J401" s="149" t="s">
        <v>678</v>
      </c>
      <c r="K401" s="101" t="str">
        <f t="shared" si="32"/>
        <v>95</v>
      </c>
      <c r="L401" s="101" t="str">
        <f t="shared" si="33"/>
        <v>10</v>
      </c>
      <c r="M401" s="101" t="str">
        <f t="shared" si="34"/>
        <v>25</v>
      </c>
    </row>
    <row r="402" spans="1:13">
      <c r="A402" t="str">
        <f t="shared" si="30"/>
        <v>津山工業高等専門学校2401男</v>
      </c>
      <c r="B402" s="149" t="s">
        <v>1754</v>
      </c>
      <c r="C402" s="149">
        <v>2401</v>
      </c>
      <c r="D402" s="149" t="s">
        <v>1763</v>
      </c>
      <c r="E402" s="149" t="s">
        <v>1764</v>
      </c>
      <c r="F402" s="149" t="s">
        <v>293</v>
      </c>
      <c r="G402" s="149" t="s">
        <v>143</v>
      </c>
      <c r="H402" s="151" t="str">
        <f t="shared" si="31"/>
        <v>1995/08/22</v>
      </c>
      <c r="I402" s="149" t="s">
        <v>299</v>
      </c>
      <c r="J402" s="149" t="s">
        <v>498</v>
      </c>
      <c r="K402" s="101" t="str">
        <f t="shared" si="32"/>
        <v>95</v>
      </c>
      <c r="L402" s="101" t="str">
        <f t="shared" si="33"/>
        <v>08</v>
      </c>
      <c r="M402" s="101" t="str">
        <f t="shared" si="34"/>
        <v>22</v>
      </c>
    </row>
    <row r="403" spans="1:13">
      <c r="A403" t="str">
        <f t="shared" si="30"/>
        <v>津山工業高等専門学校2402男</v>
      </c>
      <c r="B403" s="149" t="s">
        <v>1754</v>
      </c>
      <c r="C403" s="149">
        <v>2402</v>
      </c>
      <c r="D403" s="149" t="s">
        <v>1765</v>
      </c>
      <c r="E403" s="149" t="s">
        <v>1766</v>
      </c>
      <c r="F403" s="149" t="s">
        <v>293</v>
      </c>
      <c r="G403" s="149" t="s">
        <v>143</v>
      </c>
      <c r="H403" s="151" t="str">
        <f t="shared" si="31"/>
        <v>1995/12/17</v>
      </c>
      <c r="I403" s="149" t="s">
        <v>299</v>
      </c>
      <c r="J403" s="149" t="s">
        <v>3745</v>
      </c>
      <c r="K403" s="101" t="str">
        <f t="shared" si="32"/>
        <v>95</v>
      </c>
      <c r="L403" s="101" t="str">
        <f t="shared" si="33"/>
        <v>12</v>
      </c>
      <c r="M403" s="101" t="str">
        <f t="shared" si="34"/>
        <v>17</v>
      </c>
    </row>
    <row r="404" spans="1:13">
      <c r="A404" t="str">
        <f t="shared" si="30"/>
        <v>津山工業高等専門学校2403男</v>
      </c>
      <c r="B404" s="149" t="s">
        <v>1754</v>
      </c>
      <c r="C404" s="149">
        <v>2403</v>
      </c>
      <c r="D404" s="149" t="s">
        <v>1767</v>
      </c>
      <c r="E404" s="149" t="s">
        <v>1768</v>
      </c>
      <c r="F404" s="149" t="s">
        <v>293</v>
      </c>
      <c r="G404" s="149" t="s">
        <v>143</v>
      </c>
      <c r="H404" s="151" t="str">
        <f t="shared" si="31"/>
        <v>1995/08/31</v>
      </c>
      <c r="I404" s="149" t="s">
        <v>299</v>
      </c>
      <c r="J404" s="149" t="s">
        <v>610</v>
      </c>
      <c r="K404" s="101" t="str">
        <f t="shared" si="32"/>
        <v>95</v>
      </c>
      <c r="L404" s="101" t="str">
        <f t="shared" si="33"/>
        <v>08</v>
      </c>
      <c r="M404" s="101" t="str">
        <f t="shared" si="34"/>
        <v>31</v>
      </c>
    </row>
    <row r="405" spans="1:13">
      <c r="A405" t="str">
        <f t="shared" si="30"/>
        <v>津山工業高等専門学校2404男</v>
      </c>
      <c r="B405" s="149" t="s">
        <v>1754</v>
      </c>
      <c r="C405" s="149">
        <v>2404</v>
      </c>
      <c r="D405" s="149" t="s">
        <v>1769</v>
      </c>
      <c r="E405" s="149" t="s">
        <v>1770</v>
      </c>
      <c r="F405" s="149" t="s">
        <v>260</v>
      </c>
      <c r="G405" s="149" t="s">
        <v>143</v>
      </c>
      <c r="H405" s="151" t="str">
        <f t="shared" si="31"/>
        <v>1996/11/14</v>
      </c>
      <c r="I405" s="149" t="s">
        <v>299</v>
      </c>
      <c r="J405" s="149" t="s">
        <v>431</v>
      </c>
      <c r="K405" s="101" t="str">
        <f t="shared" si="32"/>
        <v>96</v>
      </c>
      <c r="L405" s="101" t="str">
        <f t="shared" si="33"/>
        <v>11</v>
      </c>
      <c r="M405" s="101" t="str">
        <f t="shared" si="34"/>
        <v>14</v>
      </c>
    </row>
    <row r="406" spans="1:13">
      <c r="A406" t="str">
        <f t="shared" si="30"/>
        <v>津山工業高等専門学校2405男</v>
      </c>
      <c r="B406" s="149" t="s">
        <v>1754</v>
      </c>
      <c r="C406" s="149">
        <v>2405</v>
      </c>
      <c r="D406" s="149" t="s">
        <v>1771</v>
      </c>
      <c r="E406" s="149" t="s">
        <v>1772</v>
      </c>
      <c r="F406" s="149" t="s">
        <v>260</v>
      </c>
      <c r="G406" s="149" t="s">
        <v>143</v>
      </c>
      <c r="H406" s="151" t="str">
        <f t="shared" si="31"/>
        <v>1996/09/27</v>
      </c>
      <c r="I406" s="149" t="s">
        <v>299</v>
      </c>
      <c r="J406" s="149" t="s">
        <v>3780</v>
      </c>
      <c r="K406" s="101" t="str">
        <f t="shared" si="32"/>
        <v>96</v>
      </c>
      <c r="L406" s="101" t="str">
        <f t="shared" si="33"/>
        <v>09</v>
      </c>
      <c r="M406" s="101" t="str">
        <f t="shared" si="34"/>
        <v>27</v>
      </c>
    </row>
    <row r="407" spans="1:13">
      <c r="A407" t="str">
        <f t="shared" si="30"/>
        <v>津山工業高等専門学校2406男</v>
      </c>
      <c r="B407" s="149" t="s">
        <v>1754</v>
      </c>
      <c r="C407" s="149">
        <v>2406</v>
      </c>
      <c r="D407" s="149" t="s">
        <v>1773</v>
      </c>
      <c r="E407" s="149" t="s">
        <v>1774</v>
      </c>
      <c r="F407" s="149" t="s">
        <v>260</v>
      </c>
      <c r="G407" s="149" t="s">
        <v>143</v>
      </c>
      <c r="H407" s="151" t="str">
        <f t="shared" si="31"/>
        <v>1997/03/04</v>
      </c>
      <c r="I407" s="149" t="s">
        <v>299</v>
      </c>
      <c r="J407" s="149" t="s">
        <v>807</v>
      </c>
      <c r="K407" s="101" t="str">
        <f t="shared" si="32"/>
        <v>97</v>
      </c>
      <c r="L407" s="101" t="str">
        <f t="shared" si="33"/>
        <v>03</v>
      </c>
      <c r="M407" s="101" t="str">
        <f t="shared" si="34"/>
        <v>04</v>
      </c>
    </row>
    <row r="408" spans="1:13">
      <c r="A408" t="str">
        <f t="shared" si="30"/>
        <v>津山工業高等専門学校2407男</v>
      </c>
      <c r="B408" s="149" t="s">
        <v>1754</v>
      </c>
      <c r="C408" s="149">
        <v>2407</v>
      </c>
      <c r="D408" s="149" t="s">
        <v>1775</v>
      </c>
      <c r="E408" s="149" t="s">
        <v>1776</v>
      </c>
      <c r="F408" s="149" t="s">
        <v>260</v>
      </c>
      <c r="G408" s="149" t="s">
        <v>143</v>
      </c>
      <c r="H408" s="151" t="str">
        <f t="shared" si="31"/>
        <v>1996/08/06</v>
      </c>
      <c r="I408" s="149" t="s">
        <v>299</v>
      </c>
      <c r="J408" s="149" t="s">
        <v>699</v>
      </c>
      <c r="K408" s="101" t="str">
        <f t="shared" si="32"/>
        <v>96</v>
      </c>
      <c r="L408" s="101" t="str">
        <f t="shared" si="33"/>
        <v>08</v>
      </c>
      <c r="M408" s="101" t="str">
        <f t="shared" si="34"/>
        <v>06</v>
      </c>
    </row>
    <row r="409" spans="1:13">
      <c r="A409" t="str">
        <f t="shared" si="30"/>
        <v>津山工業高等専門学校2408男</v>
      </c>
      <c r="B409" s="149" t="s">
        <v>1754</v>
      </c>
      <c r="C409" s="149">
        <v>2408</v>
      </c>
      <c r="D409" s="149" t="s">
        <v>1777</v>
      </c>
      <c r="E409" s="149" t="s">
        <v>1778</v>
      </c>
      <c r="F409" s="149" t="s">
        <v>260</v>
      </c>
      <c r="G409" s="149" t="s">
        <v>143</v>
      </c>
      <c r="H409" s="151" t="str">
        <f t="shared" si="31"/>
        <v>1996/07/24</v>
      </c>
      <c r="I409" s="149" t="s">
        <v>299</v>
      </c>
      <c r="J409" s="149" t="s">
        <v>810</v>
      </c>
      <c r="K409" s="101" t="str">
        <f t="shared" si="32"/>
        <v>96</v>
      </c>
      <c r="L409" s="101" t="str">
        <f t="shared" si="33"/>
        <v>07</v>
      </c>
      <c r="M409" s="101" t="str">
        <f t="shared" si="34"/>
        <v>24</v>
      </c>
    </row>
    <row r="410" spans="1:13">
      <c r="A410" t="str">
        <f t="shared" si="30"/>
        <v>津山工業高等専門学校2409男</v>
      </c>
      <c r="B410" s="149" t="s">
        <v>1754</v>
      </c>
      <c r="C410" s="149">
        <v>2409</v>
      </c>
      <c r="D410" s="149" t="s">
        <v>1779</v>
      </c>
      <c r="E410" s="149" t="s">
        <v>1780</v>
      </c>
      <c r="F410" s="149" t="s">
        <v>260</v>
      </c>
      <c r="G410" s="149" t="s">
        <v>143</v>
      </c>
      <c r="H410" s="151" t="str">
        <f t="shared" si="31"/>
        <v>1996/10/11</v>
      </c>
      <c r="I410" s="149" t="s">
        <v>299</v>
      </c>
      <c r="J410" s="149" t="s">
        <v>942</v>
      </c>
      <c r="K410" s="101" t="str">
        <f t="shared" si="32"/>
        <v>96</v>
      </c>
      <c r="L410" s="101" t="str">
        <f t="shared" si="33"/>
        <v>10</v>
      </c>
      <c r="M410" s="101" t="str">
        <f t="shared" si="34"/>
        <v>11</v>
      </c>
    </row>
    <row r="411" spans="1:13">
      <c r="A411" t="str">
        <f t="shared" si="30"/>
        <v>津山工業高等専門学校2410男</v>
      </c>
      <c r="B411" s="149" t="s">
        <v>1754</v>
      </c>
      <c r="C411" s="149">
        <v>2410</v>
      </c>
      <c r="D411" s="149" t="s">
        <v>1781</v>
      </c>
      <c r="E411" s="149" t="s">
        <v>1782</v>
      </c>
      <c r="F411" s="149" t="s">
        <v>260</v>
      </c>
      <c r="G411" s="149" t="s">
        <v>143</v>
      </c>
      <c r="H411" s="151" t="str">
        <f t="shared" si="31"/>
        <v>1996/02/02</v>
      </c>
      <c r="I411" s="149" t="s">
        <v>299</v>
      </c>
      <c r="J411" s="149" t="s">
        <v>3781</v>
      </c>
      <c r="K411" s="101" t="str">
        <f t="shared" si="32"/>
        <v>96</v>
      </c>
      <c r="L411" s="101" t="str">
        <f t="shared" si="33"/>
        <v>02</v>
      </c>
      <c r="M411" s="101" t="str">
        <f t="shared" si="34"/>
        <v>02</v>
      </c>
    </row>
    <row r="412" spans="1:13">
      <c r="A412" t="str">
        <f t="shared" si="30"/>
        <v>津山工業高等専門学校2411男</v>
      </c>
      <c r="B412" s="149" t="s">
        <v>1754</v>
      </c>
      <c r="C412" s="149">
        <v>2411</v>
      </c>
      <c r="D412" s="149" t="s">
        <v>1783</v>
      </c>
      <c r="E412" s="149" t="s">
        <v>1784</v>
      </c>
      <c r="F412" s="149" t="s">
        <v>260</v>
      </c>
      <c r="G412" s="149" t="s">
        <v>143</v>
      </c>
      <c r="H412" s="151" t="str">
        <f t="shared" si="31"/>
        <v>1996/05/24</v>
      </c>
      <c r="I412" s="149" t="s">
        <v>299</v>
      </c>
      <c r="J412" s="149" t="s">
        <v>917</v>
      </c>
      <c r="K412" s="101" t="str">
        <f t="shared" si="32"/>
        <v>96</v>
      </c>
      <c r="L412" s="101" t="str">
        <f t="shared" si="33"/>
        <v>05</v>
      </c>
      <c r="M412" s="101" t="str">
        <f t="shared" si="34"/>
        <v>24</v>
      </c>
    </row>
    <row r="413" spans="1:13">
      <c r="A413" t="str">
        <f t="shared" si="30"/>
        <v>津山工業高等専門学校2412男</v>
      </c>
      <c r="B413" s="149" t="s">
        <v>1754</v>
      </c>
      <c r="C413" s="149">
        <v>2412</v>
      </c>
      <c r="D413" s="149" t="s">
        <v>1785</v>
      </c>
      <c r="E413" s="149" t="s">
        <v>1786</v>
      </c>
      <c r="F413" s="149" t="s">
        <v>260</v>
      </c>
      <c r="G413" s="149" t="s">
        <v>143</v>
      </c>
      <c r="H413" s="151" t="str">
        <f t="shared" si="31"/>
        <v>1996/07/03</v>
      </c>
      <c r="I413" s="149" t="s">
        <v>299</v>
      </c>
      <c r="J413" s="149" t="s">
        <v>696</v>
      </c>
      <c r="K413" s="101" t="str">
        <f t="shared" si="32"/>
        <v>96</v>
      </c>
      <c r="L413" s="101" t="str">
        <f t="shared" si="33"/>
        <v>07</v>
      </c>
      <c r="M413" s="101" t="str">
        <f t="shared" si="34"/>
        <v>03</v>
      </c>
    </row>
    <row r="414" spans="1:13">
      <c r="A414" t="str">
        <f t="shared" si="30"/>
        <v>高知大学2413男</v>
      </c>
      <c r="B414" s="149" t="s">
        <v>1787</v>
      </c>
      <c r="C414" s="149">
        <v>2413</v>
      </c>
      <c r="D414" s="149" t="s">
        <v>1788</v>
      </c>
      <c r="E414" s="149" t="s">
        <v>1789</v>
      </c>
      <c r="F414" s="149" t="s">
        <v>839</v>
      </c>
      <c r="G414" s="149" t="s">
        <v>143</v>
      </c>
      <c r="H414" s="151" t="str">
        <f t="shared" si="31"/>
        <v>1987/04/24</v>
      </c>
      <c r="I414" s="149" t="s">
        <v>263</v>
      </c>
      <c r="J414" s="149" t="s">
        <v>3782</v>
      </c>
      <c r="K414" s="101" t="str">
        <f t="shared" si="32"/>
        <v>87</v>
      </c>
      <c r="L414" s="101" t="str">
        <f t="shared" si="33"/>
        <v>04</v>
      </c>
      <c r="M414" s="101" t="str">
        <f t="shared" si="34"/>
        <v>24</v>
      </c>
    </row>
    <row r="415" spans="1:13">
      <c r="A415" t="str">
        <f t="shared" si="30"/>
        <v>高知大学2414男</v>
      </c>
      <c r="B415" s="149" t="s">
        <v>1787</v>
      </c>
      <c r="C415" s="149">
        <v>2414</v>
      </c>
      <c r="D415" s="149" t="s">
        <v>1790</v>
      </c>
      <c r="E415" s="149" t="s">
        <v>1791</v>
      </c>
      <c r="F415" s="149" t="s">
        <v>262</v>
      </c>
      <c r="G415" s="149" t="s">
        <v>143</v>
      </c>
      <c r="H415" s="151" t="str">
        <f t="shared" si="31"/>
        <v>1991/05/19</v>
      </c>
      <c r="I415" s="149" t="s">
        <v>263</v>
      </c>
      <c r="J415" s="149" t="s">
        <v>3783</v>
      </c>
      <c r="K415" s="101" t="str">
        <f t="shared" si="32"/>
        <v>91</v>
      </c>
      <c r="L415" s="101" t="str">
        <f t="shared" si="33"/>
        <v>05</v>
      </c>
      <c r="M415" s="101" t="str">
        <f t="shared" si="34"/>
        <v>19</v>
      </c>
    </row>
    <row r="416" spans="1:13">
      <c r="A416" t="str">
        <f t="shared" si="30"/>
        <v>高知大学2415男</v>
      </c>
      <c r="B416" s="149" t="s">
        <v>1787</v>
      </c>
      <c r="C416" s="149">
        <v>2415</v>
      </c>
      <c r="D416" s="149" t="s">
        <v>1792</v>
      </c>
      <c r="E416" s="149" t="s">
        <v>1793</v>
      </c>
      <c r="F416" s="149" t="s">
        <v>262</v>
      </c>
      <c r="G416" s="149" t="s">
        <v>143</v>
      </c>
      <c r="H416" s="151" t="str">
        <f t="shared" si="31"/>
        <v>1992/01/30</v>
      </c>
      <c r="I416" s="149" t="s">
        <v>263</v>
      </c>
      <c r="J416" s="149" t="s">
        <v>3784</v>
      </c>
      <c r="K416" s="101" t="str">
        <f t="shared" si="32"/>
        <v>92</v>
      </c>
      <c r="L416" s="101" t="str">
        <f t="shared" si="33"/>
        <v>01</v>
      </c>
      <c r="M416" s="101" t="str">
        <f t="shared" si="34"/>
        <v>30</v>
      </c>
    </row>
    <row r="417" spans="1:13">
      <c r="A417" t="str">
        <f t="shared" si="30"/>
        <v>高知大学2416男</v>
      </c>
      <c r="B417" s="149" t="s">
        <v>1787</v>
      </c>
      <c r="C417" s="149">
        <v>2416</v>
      </c>
      <c r="D417" s="149" t="s">
        <v>1794</v>
      </c>
      <c r="E417" s="149" t="s">
        <v>1795</v>
      </c>
      <c r="F417" s="149" t="s">
        <v>262</v>
      </c>
      <c r="G417" s="149" t="s">
        <v>143</v>
      </c>
      <c r="H417" s="151" t="str">
        <f t="shared" si="31"/>
        <v>1992/01/13</v>
      </c>
      <c r="I417" s="149" t="s">
        <v>276</v>
      </c>
      <c r="J417" s="149" t="s">
        <v>3785</v>
      </c>
      <c r="K417" s="101" t="str">
        <f t="shared" si="32"/>
        <v>92</v>
      </c>
      <c r="L417" s="101" t="str">
        <f t="shared" si="33"/>
        <v>01</v>
      </c>
      <c r="M417" s="101" t="str">
        <f t="shared" si="34"/>
        <v>13</v>
      </c>
    </row>
    <row r="418" spans="1:13">
      <c r="A418" t="str">
        <f t="shared" si="30"/>
        <v>高知大学2417男</v>
      </c>
      <c r="B418" s="149" t="s">
        <v>1787</v>
      </c>
      <c r="C418" s="149">
        <v>2417</v>
      </c>
      <c r="D418" s="149" t="s">
        <v>1796</v>
      </c>
      <c r="E418" s="149" t="s">
        <v>1797</v>
      </c>
      <c r="F418" s="149" t="s">
        <v>262</v>
      </c>
      <c r="G418" s="149" t="s">
        <v>143</v>
      </c>
      <c r="H418" s="151" t="str">
        <f t="shared" si="31"/>
        <v>1991/11/02</v>
      </c>
      <c r="I418" s="149" t="s">
        <v>263</v>
      </c>
      <c r="J418" s="149" t="s">
        <v>3786</v>
      </c>
      <c r="K418" s="101" t="str">
        <f t="shared" si="32"/>
        <v>91</v>
      </c>
      <c r="L418" s="101" t="str">
        <f t="shared" si="33"/>
        <v>11</v>
      </c>
      <c r="M418" s="101" t="str">
        <f t="shared" si="34"/>
        <v>02</v>
      </c>
    </row>
    <row r="419" spans="1:13">
      <c r="A419" t="str">
        <f t="shared" si="30"/>
        <v>高知大学2418男</v>
      </c>
      <c r="B419" s="149" t="s">
        <v>1787</v>
      </c>
      <c r="C419" s="149">
        <v>2418</v>
      </c>
      <c r="D419" s="149" t="s">
        <v>1798</v>
      </c>
      <c r="E419" s="149" t="s">
        <v>1799</v>
      </c>
      <c r="F419" s="149" t="s">
        <v>260</v>
      </c>
      <c r="G419" s="149" t="s">
        <v>143</v>
      </c>
      <c r="H419" s="151" t="str">
        <f t="shared" si="31"/>
        <v>1993/09/09</v>
      </c>
      <c r="I419" s="149" t="s">
        <v>263</v>
      </c>
      <c r="J419" s="149" t="s">
        <v>565</v>
      </c>
      <c r="K419" s="101" t="str">
        <f t="shared" si="32"/>
        <v>93</v>
      </c>
      <c r="L419" s="101" t="str">
        <f t="shared" si="33"/>
        <v>09</v>
      </c>
      <c r="M419" s="101" t="str">
        <f t="shared" si="34"/>
        <v>09</v>
      </c>
    </row>
    <row r="420" spans="1:13">
      <c r="A420" t="str">
        <f t="shared" si="30"/>
        <v>高知大学2419男</v>
      </c>
      <c r="B420" s="149" t="s">
        <v>1787</v>
      </c>
      <c r="C420" s="149">
        <v>2419</v>
      </c>
      <c r="D420" s="149" t="s">
        <v>1800</v>
      </c>
      <c r="E420" s="149" t="s">
        <v>1801</v>
      </c>
      <c r="F420" s="149" t="s">
        <v>260</v>
      </c>
      <c r="G420" s="149" t="s">
        <v>143</v>
      </c>
      <c r="H420" s="151" t="str">
        <f t="shared" si="31"/>
        <v>1993/08/05</v>
      </c>
      <c r="I420" s="149" t="s">
        <v>263</v>
      </c>
      <c r="J420" s="149" t="s">
        <v>3787</v>
      </c>
      <c r="K420" s="101" t="str">
        <f t="shared" si="32"/>
        <v>93</v>
      </c>
      <c r="L420" s="101" t="str">
        <f t="shared" si="33"/>
        <v>08</v>
      </c>
      <c r="M420" s="101" t="str">
        <f t="shared" si="34"/>
        <v>05</v>
      </c>
    </row>
    <row r="421" spans="1:13">
      <c r="A421" t="str">
        <f t="shared" si="30"/>
        <v>高知大学2420男</v>
      </c>
      <c r="B421" s="149" t="s">
        <v>1787</v>
      </c>
      <c r="C421" s="149">
        <v>2420</v>
      </c>
      <c r="D421" s="149" t="s">
        <v>1802</v>
      </c>
      <c r="E421" s="149" t="s">
        <v>1803</v>
      </c>
      <c r="F421" s="149" t="s">
        <v>260</v>
      </c>
      <c r="G421" s="149" t="s">
        <v>143</v>
      </c>
      <c r="H421" s="151" t="str">
        <f t="shared" si="31"/>
        <v>1993/04/15</v>
      </c>
      <c r="I421" s="149" t="s">
        <v>263</v>
      </c>
      <c r="J421" s="149" t="s">
        <v>3788</v>
      </c>
      <c r="K421" s="101" t="str">
        <f t="shared" si="32"/>
        <v>93</v>
      </c>
      <c r="L421" s="101" t="str">
        <f t="shared" si="33"/>
        <v>04</v>
      </c>
      <c r="M421" s="101" t="str">
        <f t="shared" si="34"/>
        <v>15</v>
      </c>
    </row>
    <row r="422" spans="1:13">
      <c r="A422" t="str">
        <f t="shared" si="30"/>
        <v>高知大学2421男</v>
      </c>
      <c r="B422" s="149" t="s">
        <v>1787</v>
      </c>
      <c r="C422" s="149">
        <v>2421</v>
      </c>
      <c r="D422" s="149" t="s">
        <v>1804</v>
      </c>
      <c r="E422" s="149" t="s">
        <v>1805</v>
      </c>
      <c r="F422" s="149" t="s">
        <v>260</v>
      </c>
      <c r="G422" s="149" t="s">
        <v>143</v>
      </c>
      <c r="H422" s="151" t="str">
        <f t="shared" si="31"/>
        <v>1994/03/13</v>
      </c>
      <c r="I422" s="149" t="s">
        <v>263</v>
      </c>
      <c r="J422" s="149" t="s">
        <v>3789</v>
      </c>
      <c r="K422" s="101" t="str">
        <f t="shared" si="32"/>
        <v>94</v>
      </c>
      <c r="L422" s="101" t="str">
        <f t="shared" si="33"/>
        <v>03</v>
      </c>
      <c r="M422" s="101" t="str">
        <f t="shared" si="34"/>
        <v>13</v>
      </c>
    </row>
    <row r="423" spans="1:13">
      <c r="A423" t="str">
        <f t="shared" si="30"/>
        <v>高知大学2422男</v>
      </c>
      <c r="B423" s="149" t="s">
        <v>1787</v>
      </c>
      <c r="C423" s="149">
        <v>2422</v>
      </c>
      <c r="D423" s="149" t="s">
        <v>1806</v>
      </c>
      <c r="E423" s="149" t="s">
        <v>1807</v>
      </c>
      <c r="F423" s="149" t="s">
        <v>260</v>
      </c>
      <c r="G423" s="149" t="s">
        <v>143</v>
      </c>
      <c r="H423" s="151" t="str">
        <f t="shared" si="31"/>
        <v>1994/02/04</v>
      </c>
      <c r="I423" s="149" t="s">
        <v>263</v>
      </c>
      <c r="J423" s="149" t="s">
        <v>849</v>
      </c>
      <c r="K423" s="101" t="str">
        <f t="shared" si="32"/>
        <v>94</v>
      </c>
      <c r="L423" s="101" t="str">
        <f t="shared" si="33"/>
        <v>02</v>
      </c>
      <c r="M423" s="101" t="str">
        <f t="shared" si="34"/>
        <v>04</v>
      </c>
    </row>
    <row r="424" spans="1:13">
      <c r="A424" t="str">
        <f t="shared" si="30"/>
        <v>高知大学2423男</v>
      </c>
      <c r="B424" s="149" t="s">
        <v>1787</v>
      </c>
      <c r="C424" s="149">
        <v>2423</v>
      </c>
      <c r="D424" s="149" t="s">
        <v>1808</v>
      </c>
      <c r="E424" s="149" t="s">
        <v>1809</v>
      </c>
      <c r="F424" s="149" t="s">
        <v>260</v>
      </c>
      <c r="G424" s="149" t="s">
        <v>143</v>
      </c>
      <c r="H424" s="151" t="str">
        <f t="shared" si="31"/>
        <v>1994/01/09</v>
      </c>
      <c r="I424" s="149" t="s">
        <v>263</v>
      </c>
      <c r="J424" s="149" t="s">
        <v>435</v>
      </c>
      <c r="K424" s="101" t="str">
        <f t="shared" si="32"/>
        <v>94</v>
      </c>
      <c r="L424" s="101" t="str">
        <f t="shared" si="33"/>
        <v>01</v>
      </c>
      <c r="M424" s="101" t="str">
        <f t="shared" si="34"/>
        <v>09</v>
      </c>
    </row>
    <row r="425" spans="1:13">
      <c r="A425" t="str">
        <f t="shared" si="30"/>
        <v>高知大学2424男</v>
      </c>
      <c r="B425" s="149" t="s">
        <v>1787</v>
      </c>
      <c r="C425" s="149">
        <v>2424</v>
      </c>
      <c r="D425" s="149" t="s">
        <v>1810</v>
      </c>
      <c r="E425" s="149" t="s">
        <v>1811</v>
      </c>
      <c r="F425" s="149" t="s">
        <v>260</v>
      </c>
      <c r="G425" s="149" t="s">
        <v>143</v>
      </c>
      <c r="H425" s="151" t="str">
        <f t="shared" si="31"/>
        <v>1990/11/13</v>
      </c>
      <c r="I425" s="149" t="s">
        <v>263</v>
      </c>
      <c r="J425" s="149" t="s">
        <v>668</v>
      </c>
      <c r="K425" s="101" t="str">
        <f t="shared" si="32"/>
        <v>90</v>
      </c>
      <c r="L425" s="101" t="str">
        <f t="shared" si="33"/>
        <v>11</v>
      </c>
      <c r="M425" s="101" t="str">
        <f t="shared" si="34"/>
        <v>13</v>
      </c>
    </row>
    <row r="426" spans="1:13">
      <c r="A426" t="str">
        <f t="shared" si="30"/>
        <v>高知大学2425男</v>
      </c>
      <c r="B426" s="149" t="s">
        <v>1787</v>
      </c>
      <c r="C426" s="149">
        <v>2425</v>
      </c>
      <c r="D426" s="149" t="s">
        <v>1812</v>
      </c>
      <c r="E426" s="149" t="s">
        <v>1813</v>
      </c>
      <c r="F426" s="149" t="s">
        <v>265</v>
      </c>
      <c r="G426" s="149" t="s">
        <v>143</v>
      </c>
      <c r="H426" s="151" t="str">
        <f t="shared" si="31"/>
        <v>1995/02/25</v>
      </c>
      <c r="I426" s="149" t="s">
        <v>263</v>
      </c>
      <c r="J426" s="149" t="s">
        <v>584</v>
      </c>
      <c r="K426" s="101" t="str">
        <f t="shared" si="32"/>
        <v>95</v>
      </c>
      <c r="L426" s="101" t="str">
        <f t="shared" si="33"/>
        <v>02</v>
      </c>
      <c r="M426" s="101" t="str">
        <f t="shared" si="34"/>
        <v>25</v>
      </c>
    </row>
    <row r="427" spans="1:13">
      <c r="A427" t="str">
        <f t="shared" si="30"/>
        <v>高知大学2426男</v>
      </c>
      <c r="B427" s="149" t="s">
        <v>1787</v>
      </c>
      <c r="C427" s="149">
        <v>2426</v>
      </c>
      <c r="D427" s="149" t="s">
        <v>1814</v>
      </c>
      <c r="E427" s="149" t="s">
        <v>1815</v>
      </c>
      <c r="F427" s="149" t="s">
        <v>265</v>
      </c>
      <c r="G427" s="149" t="s">
        <v>143</v>
      </c>
      <c r="H427" s="151" t="str">
        <f t="shared" si="31"/>
        <v>1995/01/18</v>
      </c>
      <c r="I427" s="149" t="s">
        <v>263</v>
      </c>
      <c r="J427" s="149" t="s">
        <v>462</v>
      </c>
      <c r="K427" s="101" t="str">
        <f t="shared" si="32"/>
        <v>95</v>
      </c>
      <c r="L427" s="101" t="str">
        <f t="shared" si="33"/>
        <v>01</v>
      </c>
      <c r="M427" s="101" t="str">
        <f t="shared" si="34"/>
        <v>18</v>
      </c>
    </row>
    <row r="428" spans="1:13">
      <c r="A428" t="str">
        <f t="shared" si="30"/>
        <v>高知大学2427男</v>
      </c>
      <c r="B428" s="149" t="s">
        <v>1787</v>
      </c>
      <c r="C428" s="149">
        <v>2427</v>
      </c>
      <c r="D428" s="149" t="s">
        <v>1816</v>
      </c>
      <c r="E428" s="149" t="s">
        <v>1817</v>
      </c>
      <c r="F428" s="149" t="s">
        <v>265</v>
      </c>
      <c r="G428" s="149" t="s">
        <v>143</v>
      </c>
      <c r="H428" s="151" t="str">
        <f t="shared" si="31"/>
        <v>1994/09/18</v>
      </c>
      <c r="I428" s="149" t="s">
        <v>263</v>
      </c>
      <c r="J428" s="149" t="s">
        <v>545</v>
      </c>
      <c r="K428" s="101" t="str">
        <f t="shared" si="32"/>
        <v>94</v>
      </c>
      <c r="L428" s="101" t="str">
        <f t="shared" si="33"/>
        <v>09</v>
      </c>
      <c r="M428" s="101" t="str">
        <f t="shared" si="34"/>
        <v>18</v>
      </c>
    </row>
    <row r="429" spans="1:13">
      <c r="A429" t="str">
        <f t="shared" si="30"/>
        <v>高知大学2428男</v>
      </c>
      <c r="B429" s="149" t="s">
        <v>1787</v>
      </c>
      <c r="C429" s="149">
        <v>2428</v>
      </c>
      <c r="D429" s="149" t="s">
        <v>1818</v>
      </c>
      <c r="E429" s="149" t="s">
        <v>1819</v>
      </c>
      <c r="F429" s="149" t="s">
        <v>265</v>
      </c>
      <c r="G429" s="149" t="s">
        <v>143</v>
      </c>
      <c r="H429" s="151" t="str">
        <f t="shared" si="31"/>
        <v>1994/05/20</v>
      </c>
      <c r="I429" s="149" t="s">
        <v>263</v>
      </c>
      <c r="J429" s="149" t="s">
        <v>890</v>
      </c>
      <c r="K429" s="101" t="str">
        <f t="shared" si="32"/>
        <v>94</v>
      </c>
      <c r="L429" s="101" t="str">
        <f t="shared" si="33"/>
        <v>05</v>
      </c>
      <c r="M429" s="101" t="str">
        <f t="shared" si="34"/>
        <v>20</v>
      </c>
    </row>
    <row r="430" spans="1:13">
      <c r="A430" t="str">
        <f t="shared" si="30"/>
        <v>高知大学2429男</v>
      </c>
      <c r="B430" s="149" t="s">
        <v>1787</v>
      </c>
      <c r="C430" s="149">
        <v>2429</v>
      </c>
      <c r="D430" s="149" t="s">
        <v>1820</v>
      </c>
      <c r="E430" s="149" t="s">
        <v>1821</v>
      </c>
      <c r="F430" s="149" t="s">
        <v>267</v>
      </c>
      <c r="G430" s="149" t="s">
        <v>143</v>
      </c>
      <c r="H430" s="151" t="str">
        <f t="shared" si="31"/>
        <v>1995/10/24</v>
      </c>
      <c r="I430" s="149" t="s">
        <v>263</v>
      </c>
      <c r="J430" s="149" t="s">
        <v>3790</v>
      </c>
      <c r="K430" s="101" t="str">
        <f t="shared" si="32"/>
        <v>95</v>
      </c>
      <c r="L430" s="101" t="str">
        <f t="shared" si="33"/>
        <v>10</v>
      </c>
      <c r="M430" s="101" t="str">
        <f t="shared" si="34"/>
        <v>24</v>
      </c>
    </row>
    <row r="431" spans="1:13">
      <c r="A431" t="str">
        <f t="shared" si="30"/>
        <v>高知大学2430男</v>
      </c>
      <c r="B431" s="149" t="s">
        <v>1787</v>
      </c>
      <c r="C431" s="149">
        <v>2430</v>
      </c>
      <c r="D431" s="149" t="s">
        <v>1822</v>
      </c>
      <c r="E431" s="149" t="s">
        <v>1823</v>
      </c>
      <c r="F431" s="149" t="s">
        <v>267</v>
      </c>
      <c r="G431" s="149" t="s">
        <v>143</v>
      </c>
      <c r="H431" s="151" t="str">
        <f t="shared" si="31"/>
        <v>1996/02/27</v>
      </c>
      <c r="I431" s="149" t="s">
        <v>263</v>
      </c>
      <c r="J431" s="149" t="s">
        <v>3703</v>
      </c>
      <c r="K431" s="101" t="str">
        <f t="shared" si="32"/>
        <v>96</v>
      </c>
      <c r="L431" s="101" t="str">
        <f t="shared" si="33"/>
        <v>02</v>
      </c>
      <c r="M431" s="101" t="str">
        <f t="shared" si="34"/>
        <v>27</v>
      </c>
    </row>
    <row r="432" spans="1:13">
      <c r="A432" t="str">
        <f t="shared" si="30"/>
        <v>高知大学2431男</v>
      </c>
      <c r="B432" s="149" t="s">
        <v>1787</v>
      </c>
      <c r="C432" s="149">
        <v>2431</v>
      </c>
      <c r="D432" s="149" t="s">
        <v>1824</v>
      </c>
      <c r="E432" s="149" t="s">
        <v>1825</v>
      </c>
      <c r="F432" s="149" t="s">
        <v>267</v>
      </c>
      <c r="G432" s="149" t="s">
        <v>143</v>
      </c>
      <c r="H432" s="151" t="str">
        <f t="shared" si="31"/>
        <v>1995/04/14</v>
      </c>
      <c r="I432" s="149" t="s">
        <v>263</v>
      </c>
      <c r="J432" s="149" t="s">
        <v>662</v>
      </c>
      <c r="K432" s="101" t="str">
        <f t="shared" si="32"/>
        <v>95</v>
      </c>
      <c r="L432" s="101" t="str">
        <f t="shared" si="33"/>
        <v>04</v>
      </c>
      <c r="M432" s="101" t="str">
        <f t="shared" si="34"/>
        <v>14</v>
      </c>
    </row>
    <row r="433" spans="1:13">
      <c r="A433" t="str">
        <f t="shared" si="30"/>
        <v>高知大学2432男</v>
      </c>
      <c r="B433" s="149" t="s">
        <v>1787</v>
      </c>
      <c r="C433" s="149">
        <v>2432</v>
      </c>
      <c r="D433" s="149" t="s">
        <v>1826</v>
      </c>
      <c r="E433" s="149" t="s">
        <v>1827</v>
      </c>
      <c r="F433" s="149" t="s">
        <v>267</v>
      </c>
      <c r="G433" s="149" t="s">
        <v>143</v>
      </c>
      <c r="H433" s="151" t="str">
        <f t="shared" si="31"/>
        <v>1995/09/16</v>
      </c>
      <c r="I433" s="149" t="s">
        <v>263</v>
      </c>
      <c r="J433" s="149" t="s">
        <v>540</v>
      </c>
      <c r="K433" s="101" t="str">
        <f t="shared" si="32"/>
        <v>95</v>
      </c>
      <c r="L433" s="101" t="str">
        <f t="shared" si="33"/>
        <v>09</v>
      </c>
      <c r="M433" s="101" t="str">
        <f t="shared" si="34"/>
        <v>16</v>
      </c>
    </row>
    <row r="434" spans="1:13">
      <c r="A434" t="str">
        <f t="shared" si="30"/>
        <v>高知大学2433男</v>
      </c>
      <c r="B434" s="149" t="s">
        <v>1787</v>
      </c>
      <c r="C434" s="149">
        <v>2433</v>
      </c>
      <c r="D434" s="149" t="s">
        <v>1828</v>
      </c>
      <c r="E434" s="149" t="s">
        <v>1829</v>
      </c>
      <c r="F434" s="149" t="s">
        <v>267</v>
      </c>
      <c r="G434" s="149" t="s">
        <v>143</v>
      </c>
      <c r="H434" s="151" t="str">
        <f t="shared" si="31"/>
        <v>1995/05/22</v>
      </c>
      <c r="I434" s="149" t="s">
        <v>263</v>
      </c>
      <c r="J434" s="149" t="s">
        <v>511</v>
      </c>
      <c r="K434" s="101" t="str">
        <f t="shared" si="32"/>
        <v>95</v>
      </c>
      <c r="L434" s="101" t="str">
        <f t="shared" si="33"/>
        <v>05</v>
      </c>
      <c r="M434" s="101" t="str">
        <f t="shared" si="34"/>
        <v>22</v>
      </c>
    </row>
    <row r="435" spans="1:13">
      <c r="A435" t="str">
        <f t="shared" si="30"/>
        <v>高知大学2434男</v>
      </c>
      <c r="B435" s="149" t="s">
        <v>1787</v>
      </c>
      <c r="C435" s="149">
        <v>2434</v>
      </c>
      <c r="D435" s="149" t="s">
        <v>1830</v>
      </c>
      <c r="E435" s="149" t="s">
        <v>1831</v>
      </c>
      <c r="F435" s="149" t="s">
        <v>267</v>
      </c>
      <c r="G435" s="149" t="s">
        <v>143</v>
      </c>
      <c r="H435" s="151" t="str">
        <f t="shared" si="31"/>
        <v>1995/04/06</v>
      </c>
      <c r="I435" s="149" t="s">
        <v>263</v>
      </c>
      <c r="J435" s="149" t="s">
        <v>687</v>
      </c>
      <c r="K435" s="101" t="str">
        <f t="shared" si="32"/>
        <v>95</v>
      </c>
      <c r="L435" s="101" t="str">
        <f t="shared" si="33"/>
        <v>04</v>
      </c>
      <c r="M435" s="101" t="str">
        <f t="shared" si="34"/>
        <v>06</v>
      </c>
    </row>
    <row r="436" spans="1:13">
      <c r="A436" t="str">
        <f t="shared" si="30"/>
        <v>高知大学2435男</v>
      </c>
      <c r="B436" s="149" t="s">
        <v>1787</v>
      </c>
      <c r="C436" s="149">
        <v>2435</v>
      </c>
      <c r="D436" s="149" t="s">
        <v>1832</v>
      </c>
      <c r="E436" s="149" t="s">
        <v>1833</v>
      </c>
      <c r="F436" s="149" t="s">
        <v>267</v>
      </c>
      <c r="G436" s="149" t="s">
        <v>143</v>
      </c>
      <c r="H436" s="151" t="str">
        <f t="shared" si="31"/>
        <v>1994/06/13</v>
      </c>
      <c r="I436" s="149" t="s">
        <v>263</v>
      </c>
      <c r="J436" s="149" t="s">
        <v>3734</v>
      </c>
      <c r="K436" s="101" t="str">
        <f t="shared" si="32"/>
        <v>94</v>
      </c>
      <c r="L436" s="101" t="str">
        <f t="shared" si="33"/>
        <v>06</v>
      </c>
      <c r="M436" s="101" t="str">
        <f t="shared" si="34"/>
        <v>13</v>
      </c>
    </row>
    <row r="437" spans="1:13">
      <c r="A437" t="str">
        <f t="shared" si="30"/>
        <v>高知大学2436男</v>
      </c>
      <c r="B437" s="149" t="s">
        <v>1787</v>
      </c>
      <c r="C437" s="149">
        <v>2436</v>
      </c>
      <c r="D437" s="149" t="s">
        <v>1834</v>
      </c>
      <c r="E437" s="149" t="s">
        <v>1835</v>
      </c>
      <c r="F437" s="149" t="s">
        <v>267</v>
      </c>
      <c r="G437" s="149" t="s">
        <v>143</v>
      </c>
      <c r="H437" s="151" t="str">
        <f t="shared" si="31"/>
        <v>1994/06/26</v>
      </c>
      <c r="I437" s="149" t="s">
        <v>263</v>
      </c>
      <c r="J437" s="149" t="s">
        <v>659</v>
      </c>
      <c r="K437" s="101" t="str">
        <f t="shared" si="32"/>
        <v>94</v>
      </c>
      <c r="L437" s="101" t="str">
        <f t="shared" si="33"/>
        <v>06</v>
      </c>
      <c r="M437" s="101" t="str">
        <f t="shared" si="34"/>
        <v>26</v>
      </c>
    </row>
    <row r="438" spans="1:13">
      <c r="A438" t="str">
        <f t="shared" si="30"/>
        <v>高知大学2437男</v>
      </c>
      <c r="B438" s="149" t="s">
        <v>1787</v>
      </c>
      <c r="C438" s="149">
        <v>2437</v>
      </c>
      <c r="D438" s="149" t="s">
        <v>1836</v>
      </c>
      <c r="E438" s="149" t="s">
        <v>1837</v>
      </c>
      <c r="F438" s="149" t="s">
        <v>267</v>
      </c>
      <c r="G438" s="149" t="s">
        <v>143</v>
      </c>
      <c r="H438" s="151" t="str">
        <f t="shared" si="31"/>
        <v>1995/06/21</v>
      </c>
      <c r="I438" s="149" t="s">
        <v>263</v>
      </c>
      <c r="J438" s="149" t="s">
        <v>679</v>
      </c>
      <c r="K438" s="101" t="str">
        <f t="shared" si="32"/>
        <v>95</v>
      </c>
      <c r="L438" s="101" t="str">
        <f t="shared" si="33"/>
        <v>06</v>
      </c>
      <c r="M438" s="101" t="str">
        <f t="shared" si="34"/>
        <v>21</v>
      </c>
    </row>
    <row r="439" spans="1:13">
      <c r="A439" t="str">
        <f t="shared" si="30"/>
        <v>高知大学2438男</v>
      </c>
      <c r="B439" s="149" t="s">
        <v>1787</v>
      </c>
      <c r="C439" s="149">
        <v>2438</v>
      </c>
      <c r="D439" s="149" t="s">
        <v>1838</v>
      </c>
      <c r="E439" s="149" t="s">
        <v>1839</v>
      </c>
      <c r="F439" s="149" t="s">
        <v>267</v>
      </c>
      <c r="G439" s="149" t="s">
        <v>143</v>
      </c>
      <c r="H439" s="151" t="str">
        <f t="shared" si="31"/>
        <v>1994/04/27</v>
      </c>
      <c r="I439" s="149" t="s">
        <v>263</v>
      </c>
      <c r="J439" s="149" t="s">
        <v>376</v>
      </c>
      <c r="K439" s="101" t="str">
        <f t="shared" si="32"/>
        <v>94</v>
      </c>
      <c r="L439" s="101" t="str">
        <f t="shared" si="33"/>
        <v>04</v>
      </c>
      <c r="M439" s="101" t="str">
        <f t="shared" si="34"/>
        <v>27</v>
      </c>
    </row>
    <row r="440" spans="1:13">
      <c r="A440" t="str">
        <f t="shared" si="30"/>
        <v>高知大学2439男</v>
      </c>
      <c r="B440" s="149" t="s">
        <v>1787</v>
      </c>
      <c r="C440" s="149">
        <v>2439</v>
      </c>
      <c r="D440" s="149" t="s">
        <v>1840</v>
      </c>
      <c r="E440" s="149" t="s">
        <v>1841</v>
      </c>
      <c r="F440" s="149" t="s">
        <v>267</v>
      </c>
      <c r="G440" s="149" t="s">
        <v>143</v>
      </c>
      <c r="H440" s="151" t="str">
        <f t="shared" si="31"/>
        <v>1994/10/01</v>
      </c>
      <c r="I440" s="149" t="s">
        <v>263</v>
      </c>
      <c r="J440" s="149" t="s">
        <v>3701</v>
      </c>
      <c r="K440" s="101" t="str">
        <f t="shared" si="32"/>
        <v>94</v>
      </c>
      <c r="L440" s="101" t="str">
        <f t="shared" si="33"/>
        <v>10</v>
      </c>
      <c r="M440" s="101" t="str">
        <f t="shared" si="34"/>
        <v>01</v>
      </c>
    </row>
    <row r="441" spans="1:13">
      <c r="A441" t="str">
        <f t="shared" si="30"/>
        <v>高知大学2440男</v>
      </c>
      <c r="B441" s="149" t="s">
        <v>1787</v>
      </c>
      <c r="C441" s="149">
        <v>2440</v>
      </c>
      <c r="D441" s="149" t="s">
        <v>1842</v>
      </c>
      <c r="E441" s="149" t="s">
        <v>1843</v>
      </c>
      <c r="F441" s="149" t="s">
        <v>267</v>
      </c>
      <c r="G441" s="149" t="s">
        <v>143</v>
      </c>
      <c r="H441" s="151" t="str">
        <f t="shared" si="31"/>
        <v>1994/08/05</v>
      </c>
      <c r="I441" s="149" t="s">
        <v>263</v>
      </c>
      <c r="J441" s="149" t="s">
        <v>512</v>
      </c>
      <c r="K441" s="101" t="str">
        <f t="shared" si="32"/>
        <v>94</v>
      </c>
      <c r="L441" s="101" t="str">
        <f t="shared" si="33"/>
        <v>08</v>
      </c>
      <c r="M441" s="101" t="str">
        <f t="shared" si="34"/>
        <v>05</v>
      </c>
    </row>
    <row r="442" spans="1:13">
      <c r="A442" t="str">
        <f t="shared" si="30"/>
        <v>高知大学2441男</v>
      </c>
      <c r="B442" s="149" t="s">
        <v>1787</v>
      </c>
      <c r="C442" s="149">
        <v>2441</v>
      </c>
      <c r="D442" s="149" t="s">
        <v>1844</v>
      </c>
      <c r="E442" s="149" t="s">
        <v>1845</v>
      </c>
      <c r="F442" s="149" t="s">
        <v>267</v>
      </c>
      <c r="G442" s="149" t="s">
        <v>143</v>
      </c>
      <c r="H442" s="151" t="str">
        <f t="shared" si="31"/>
        <v>1995/10/30</v>
      </c>
      <c r="I442" s="149" t="s">
        <v>263</v>
      </c>
      <c r="J442" s="149" t="s">
        <v>427</v>
      </c>
      <c r="K442" s="101" t="str">
        <f t="shared" si="32"/>
        <v>95</v>
      </c>
      <c r="L442" s="101" t="str">
        <f t="shared" si="33"/>
        <v>10</v>
      </c>
      <c r="M442" s="101" t="str">
        <f t="shared" si="34"/>
        <v>30</v>
      </c>
    </row>
    <row r="443" spans="1:13">
      <c r="A443" t="str">
        <f t="shared" si="30"/>
        <v>高知大学2442男</v>
      </c>
      <c r="B443" s="149" t="s">
        <v>1787</v>
      </c>
      <c r="C443" s="149">
        <v>2442</v>
      </c>
      <c r="D443" s="149" t="s">
        <v>1846</v>
      </c>
      <c r="E443" s="149" t="s">
        <v>1847</v>
      </c>
      <c r="F443" s="149" t="s">
        <v>267</v>
      </c>
      <c r="G443" s="149" t="s">
        <v>143</v>
      </c>
      <c r="H443" s="151" t="str">
        <f t="shared" si="31"/>
        <v>1995/07/07</v>
      </c>
      <c r="I443" s="149" t="s">
        <v>263</v>
      </c>
      <c r="J443" s="149" t="s">
        <v>3645</v>
      </c>
      <c r="K443" s="101" t="str">
        <f t="shared" si="32"/>
        <v>95</v>
      </c>
      <c r="L443" s="101" t="str">
        <f t="shared" si="33"/>
        <v>07</v>
      </c>
      <c r="M443" s="101" t="str">
        <f t="shared" si="34"/>
        <v>07</v>
      </c>
    </row>
    <row r="444" spans="1:13">
      <c r="A444" t="str">
        <f t="shared" si="30"/>
        <v>高知大学2443男</v>
      </c>
      <c r="B444" s="149" t="s">
        <v>1787</v>
      </c>
      <c r="C444" s="149">
        <v>2443</v>
      </c>
      <c r="D444" s="149" t="s">
        <v>1848</v>
      </c>
      <c r="E444" s="149" t="s">
        <v>1849</v>
      </c>
      <c r="F444" s="149" t="s">
        <v>279</v>
      </c>
      <c r="G444" s="149" t="s">
        <v>143</v>
      </c>
      <c r="H444" s="151" t="str">
        <f t="shared" si="31"/>
        <v>1992/02/07</v>
      </c>
      <c r="I444" s="149" t="s">
        <v>263</v>
      </c>
      <c r="J444" s="149" t="s">
        <v>3791</v>
      </c>
      <c r="K444" s="101" t="str">
        <f t="shared" si="32"/>
        <v>92</v>
      </c>
      <c r="L444" s="101" t="str">
        <f t="shared" si="33"/>
        <v>02</v>
      </c>
      <c r="M444" s="101" t="str">
        <f t="shared" si="34"/>
        <v>07</v>
      </c>
    </row>
    <row r="445" spans="1:13">
      <c r="A445" t="str">
        <f t="shared" si="30"/>
        <v>高知大学2444男</v>
      </c>
      <c r="B445" s="149" t="s">
        <v>1787</v>
      </c>
      <c r="C445" s="149">
        <v>2444</v>
      </c>
      <c r="D445" s="149" t="s">
        <v>1850</v>
      </c>
      <c r="E445" s="149" t="s">
        <v>1851</v>
      </c>
      <c r="F445" s="149" t="s">
        <v>293</v>
      </c>
      <c r="G445" s="149" t="s">
        <v>143</v>
      </c>
      <c r="H445" s="151" t="str">
        <f t="shared" si="31"/>
        <v>1992/10/20</v>
      </c>
      <c r="I445" s="149" t="s">
        <v>263</v>
      </c>
      <c r="J445" s="149" t="s">
        <v>3792</v>
      </c>
      <c r="K445" s="101" t="str">
        <f t="shared" si="32"/>
        <v>92</v>
      </c>
      <c r="L445" s="101" t="str">
        <f t="shared" si="33"/>
        <v>10</v>
      </c>
      <c r="M445" s="101" t="str">
        <f t="shared" si="34"/>
        <v>20</v>
      </c>
    </row>
    <row r="446" spans="1:13">
      <c r="A446" t="str">
        <f t="shared" si="30"/>
        <v>高知大学2445男</v>
      </c>
      <c r="B446" s="149" t="s">
        <v>1787</v>
      </c>
      <c r="C446" s="149">
        <v>2445</v>
      </c>
      <c r="D446" s="149" t="s">
        <v>1852</v>
      </c>
      <c r="E446" s="149" t="s">
        <v>1853</v>
      </c>
      <c r="F446" s="149" t="s">
        <v>260</v>
      </c>
      <c r="G446" s="149" t="s">
        <v>143</v>
      </c>
      <c r="H446" s="151" t="str">
        <f t="shared" si="31"/>
        <v>1993/07/05</v>
      </c>
      <c r="I446" s="149" t="s">
        <v>263</v>
      </c>
      <c r="J446" s="149" t="s">
        <v>460</v>
      </c>
      <c r="K446" s="101" t="str">
        <f t="shared" si="32"/>
        <v>93</v>
      </c>
      <c r="L446" s="101" t="str">
        <f t="shared" si="33"/>
        <v>07</v>
      </c>
      <c r="M446" s="101" t="str">
        <f t="shared" si="34"/>
        <v>05</v>
      </c>
    </row>
    <row r="447" spans="1:13">
      <c r="A447" t="str">
        <f t="shared" si="30"/>
        <v>高知大学2446男</v>
      </c>
      <c r="B447" s="149" t="s">
        <v>1787</v>
      </c>
      <c r="C447" s="149">
        <v>2446</v>
      </c>
      <c r="D447" s="149" t="s">
        <v>1854</v>
      </c>
      <c r="E447" s="149" t="s">
        <v>1855</v>
      </c>
      <c r="F447" s="149" t="s">
        <v>260</v>
      </c>
      <c r="G447" s="149" t="s">
        <v>143</v>
      </c>
      <c r="H447" s="151" t="str">
        <f t="shared" si="31"/>
        <v>1991/07/17</v>
      </c>
      <c r="I447" s="149" t="s">
        <v>263</v>
      </c>
      <c r="J447" s="149" t="s">
        <v>3752</v>
      </c>
      <c r="K447" s="101" t="str">
        <f t="shared" si="32"/>
        <v>91</v>
      </c>
      <c r="L447" s="101" t="str">
        <f t="shared" si="33"/>
        <v>07</v>
      </c>
      <c r="M447" s="101" t="str">
        <f t="shared" si="34"/>
        <v>17</v>
      </c>
    </row>
    <row r="448" spans="1:13">
      <c r="A448" t="str">
        <f t="shared" si="30"/>
        <v>高知大学2447男</v>
      </c>
      <c r="B448" s="149" t="s">
        <v>1787</v>
      </c>
      <c r="C448" s="149">
        <v>2447</v>
      </c>
      <c r="D448" s="149" t="s">
        <v>1856</v>
      </c>
      <c r="E448" s="149" t="s">
        <v>1857</v>
      </c>
      <c r="F448" s="149" t="s">
        <v>260</v>
      </c>
      <c r="G448" s="149" t="s">
        <v>143</v>
      </c>
      <c r="H448" s="151" t="str">
        <f t="shared" si="31"/>
        <v>1993/12/01</v>
      </c>
      <c r="I448" s="149" t="s">
        <v>263</v>
      </c>
      <c r="J448" s="149" t="s">
        <v>3793</v>
      </c>
      <c r="K448" s="101" t="str">
        <f t="shared" si="32"/>
        <v>93</v>
      </c>
      <c r="L448" s="101" t="str">
        <f t="shared" si="33"/>
        <v>12</v>
      </c>
      <c r="M448" s="101" t="str">
        <f t="shared" si="34"/>
        <v>01</v>
      </c>
    </row>
    <row r="449" spans="1:13">
      <c r="A449" t="str">
        <f t="shared" si="30"/>
        <v>高知大学2448男</v>
      </c>
      <c r="B449" s="149" t="s">
        <v>1787</v>
      </c>
      <c r="C449" s="149">
        <v>2448</v>
      </c>
      <c r="D449" s="149" t="s">
        <v>1858</v>
      </c>
      <c r="E449" s="149" t="s">
        <v>1859</v>
      </c>
      <c r="F449" s="149" t="s">
        <v>265</v>
      </c>
      <c r="G449" s="149" t="s">
        <v>143</v>
      </c>
      <c r="H449" s="151" t="str">
        <f t="shared" si="31"/>
        <v>1994/04/13</v>
      </c>
      <c r="I449" s="149" t="s">
        <v>263</v>
      </c>
      <c r="J449" s="149" t="s">
        <v>843</v>
      </c>
      <c r="K449" s="101" t="str">
        <f t="shared" si="32"/>
        <v>94</v>
      </c>
      <c r="L449" s="101" t="str">
        <f t="shared" si="33"/>
        <v>04</v>
      </c>
      <c r="M449" s="101" t="str">
        <f t="shared" si="34"/>
        <v>13</v>
      </c>
    </row>
    <row r="450" spans="1:13">
      <c r="A450" t="str">
        <f t="shared" ref="A450:A513" si="35">B450&amp;C450&amp;G450</f>
        <v>高知大学2449男</v>
      </c>
      <c r="B450" s="149" t="s">
        <v>1787</v>
      </c>
      <c r="C450" s="149">
        <v>2449</v>
      </c>
      <c r="D450" s="149" t="s">
        <v>1860</v>
      </c>
      <c r="E450" s="149" t="s">
        <v>1861</v>
      </c>
      <c r="F450" s="149" t="s">
        <v>267</v>
      </c>
      <c r="G450" s="149" t="s">
        <v>143</v>
      </c>
      <c r="H450" s="151" t="str">
        <f t="shared" si="31"/>
        <v>1991/10/13</v>
      </c>
      <c r="I450" s="149" t="s">
        <v>263</v>
      </c>
      <c r="J450" s="149" t="s">
        <v>3794</v>
      </c>
      <c r="K450" s="101" t="str">
        <f t="shared" si="32"/>
        <v>91</v>
      </c>
      <c r="L450" s="101" t="str">
        <f t="shared" si="33"/>
        <v>10</v>
      </c>
      <c r="M450" s="101" t="str">
        <f t="shared" si="34"/>
        <v>13</v>
      </c>
    </row>
    <row r="451" spans="1:13">
      <c r="A451" t="str">
        <f t="shared" si="35"/>
        <v>高知大学2450男</v>
      </c>
      <c r="B451" s="149" t="s">
        <v>1787</v>
      </c>
      <c r="C451" s="149">
        <v>2450</v>
      </c>
      <c r="D451" s="149" t="s">
        <v>1862</v>
      </c>
      <c r="E451" s="149" t="s">
        <v>1863</v>
      </c>
      <c r="F451" s="149" t="s">
        <v>267</v>
      </c>
      <c r="G451" s="149" t="s">
        <v>143</v>
      </c>
      <c r="H451" s="151" t="str">
        <f t="shared" ref="H451:H514" si="36">"19"&amp;K451&amp;"/"&amp;L451&amp;"/"&amp;M451</f>
        <v>1996/02/27</v>
      </c>
      <c r="I451" s="149" t="s">
        <v>263</v>
      </c>
      <c r="J451" s="149" t="s">
        <v>3703</v>
      </c>
      <c r="K451" s="101" t="str">
        <f t="shared" ref="K451:K514" si="37">MID(J451,1,2)</f>
        <v>96</v>
      </c>
      <c r="L451" s="101" t="str">
        <f t="shared" ref="L451:L514" si="38">MID(J451,3,2)</f>
        <v>02</v>
      </c>
      <c r="M451" s="101" t="str">
        <f t="shared" ref="M451:M514" si="39">MID(J451,5,2)</f>
        <v>27</v>
      </c>
    </row>
    <row r="452" spans="1:13">
      <c r="A452" t="str">
        <f t="shared" si="35"/>
        <v>高知大学2451男</v>
      </c>
      <c r="B452" s="149" t="s">
        <v>1787</v>
      </c>
      <c r="C452" s="149">
        <v>2451</v>
      </c>
      <c r="D452" s="149" t="s">
        <v>1864</v>
      </c>
      <c r="E452" s="149" t="s">
        <v>1865</v>
      </c>
      <c r="F452" s="149" t="s">
        <v>267</v>
      </c>
      <c r="G452" s="149" t="s">
        <v>143</v>
      </c>
      <c r="H452" s="151" t="str">
        <f t="shared" si="36"/>
        <v>1995/03/29</v>
      </c>
      <c r="I452" s="149" t="s">
        <v>263</v>
      </c>
      <c r="J452" s="149" t="s">
        <v>682</v>
      </c>
      <c r="K452" s="101" t="str">
        <f t="shared" si="37"/>
        <v>95</v>
      </c>
      <c r="L452" s="101" t="str">
        <f t="shared" si="38"/>
        <v>03</v>
      </c>
      <c r="M452" s="101" t="str">
        <f t="shared" si="39"/>
        <v>29</v>
      </c>
    </row>
    <row r="453" spans="1:13">
      <c r="A453" t="str">
        <f t="shared" si="35"/>
        <v>高知大学2452男</v>
      </c>
      <c r="B453" s="149" t="s">
        <v>1787</v>
      </c>
      <c r="C453" s="149">
        <v>2452</v>
      </c>
      <c r="D453" s="149" t="s">
        <v>1866</v>
      </c>
      <c r="E453" s="149" t="s">
        <v>1867</v>
      </c>
      <c r="F453" s="149" t="s">
        <v>267</v>
      </c>
      <c r="G453" s="149" t="s">
        <v>143</v>
      </c>
      <c r="H453" s="151" t="str">
        <f t="shared" si="36"/>
        <v>1991/01/29</v>
      </c>
      <c r="I453" s="149" t="s">
        <v>263</v>
      </c>
      <c r="J453" s="149" t="s">
        <v>3795</v>
      </c>
      <c r="K453" s="101" t="str">
        <f t="shared" si="37"/>
        <v>91</v>
      </c>
      <c r="L453" s="101" t="str">
        <f t="shared" si="38"/>
        <v>01</v>
      </c>
      <c r="M453" s="101" t="str">
        <f t="shared" si="39"/>
        <v>29</v>
      </c>
    </row>
    <row r="454" spans="1:13">
      <c r="A454" t="str">
        <f t="shared" si="35"/>
        <v>高知大学2453男</v>
      </c>
      <c r="B454" s="149" t="s">
        <v>1787</v>
      </c>
      <c r="C454" s="149">
        <v>2453</v>
      </c>
      <c r="D454" s="149" t="s">
        <v>1868</v>
      </c>
      <c r="E454" s="149" t="s">
        <v>1869</v>
      </c>
      <c r="F454" s="149" t="s">
        <v>267</v>
      </c>
      <c r="G454" s="149" t="s">
        <v>143</v>
      </c>
      <c r="H454" s="151" t="str">
        <f t="shared" si="36"/>
        <v>1994/11/17</v>
      </c>
      <c r="I454" s="149" t="s">
        <v>263</v>
      </c>
      <c r="J454" s="149" t="s">
        <v>594</v>
      </c>
      <c r="K454" s="101" t="str">
        <f t="shared" si="37"/>
        <v>94</v>
      </c>
      <c r="L454" s="101" t="str">
        <f t="shared" si="38"/>
        <v>11</v>
      </c>
      <c r="M454" s="101" t="str">
        <f t="shared" si="39"/>
        <v>17</v>
      </c>
    </row>
    <row r="455" spans="1:13">
      <c r="A455" t="str">
        <f t="shared" si="35"/>
        <v>高知大学2454男</v>
      </c>
      <c r="B455" s="149" t="s">
        <v>1787</v>
      </c>
      <c r="C455" s="149">
        <v>2454</v>
      </c>
      <c r="D455" s="149" t="s">
        <v>1870</v>
      </c>
      <c r="E455" s="149" t="s">
        <v>1871</v>
      </c>
      <c r="F455" s="149" t="s">
        <v>267</v>
      </c>
      <c r="G455" s="149" t="s">
        <v>143</v>
      </c>
      <c r="H455" s="151" t="str">
        <f t="shared" si="36"/>
        <v>1995/05/14</v>
      </c>
      <c r="I455" s="149" t="s">
        <v>263</v>
      </c>
      <c r="J455" s="149" t="s">
        <v>525</v>
      </c>
      <c r="K455" s="101" t="str">
        <f t="shared" si="37"/>
        <v>95</v>
      </c>
      <c r="L455" s="101" t="str">
        <f t="shared" si="38"/>
        <v>05</v>
      </c>
      <c r="M455" s="101" t="str">
        <f t="shared" si="39"/>
        <v>14</v>
      </c>
    </row>
    <row r="456" spans="1:13">
      <c r="A456" t="str">
        <f t="shared" si="35"/>
        <v>高知大学2455男</v>
      </c>
      <c r="B456" s="149" t="s">
        <v>1787</v>
      </c>
      <c r="C456" s="149">
        <v>2455</v>
      </c>
      <c r="D456" s="149" t="s">
        <v>1872</v>
      </c>
      <c r="E456" s="149" t="s">
        <v>1873</v>
      </c>
      <c r="F456" s="149" t="s">
        <v>260</v>
      </c>
      <c r="G456" s="149" t="s">
        <v>143</v>
      </c>
      <c r="H456" s="151" t="str">
        <f t="shared" si="36"/>
        <v>1994/03/12</v>
      </c>
      <c r="I456" s="149" t="s">
        <v>263</v>
      </c>
      <c r="J456" s="149" t="s">
        <v>3796</v>
      </c>
      <c r="K456" s="101" t="str">
        <f t="shared" si="37"/>
        <v>94</v>
      </c>
      <c r="L456" s="101" t="str">
        <f t="shared" si="38"/>
        <v>03</v>
      </c>
      <c r="M456" s="101" t="str">
        <f t="shared" si="39"/>
        <v>12</v>
      </c>
    </row>
    <row r="457" spans="1:13">
      <c r="A457" t="str">
        <f t="shared" si="35"/>
        <v>高知大学2456男</v>
      </c>
      <c r="B457" s="149" t="s">
        <v>1787</v>
      </c>
      <c r="C457" s="149">
        <v>2456</v>
      </c>
      <c r="D457" s="149" t="s">
        <v>1874</v>
      </c>
      <c r="E457" s="149" t="s">
        <v>1875</v>
      </c>
      <c r="F457" s="149" t="s">
        <v>260</v>
      </c>
      <c r="G457" s="149" t="s">
        <v>143</v>
      </c>
      <c r="H457" s="151" t="str">
        <f t="shared" si="36"/>
        <v>1993/04/05</v>
      </c>
      <c r="I457" s="149" t="s">
        <v>263</v>
      </c>
      <c r="J457" s="149" t="s">
        <v>328</v>
      </c>
      <c r="K457" s="101" t="str">
        <f t="shared" si="37"/>
        <v>93</v>
      </c>
      <c r="L457" s="101" t="str">
        <f t="shared" si="38"/>
        <v>04</v>
      </c>
      <c r="M457" s="101" t="str">
        <f t="shared" si="39"/>
        <v>05</v>
      </c>
    </row>
    <row r="458" spans="1:13">
      <c r="A458" t="str">
        <f t="shared" si="35"/>
        <v>高知大学2457男</v>
      </c>
      <c r="B458" s="149" t="s">
        <v>1787</v>
      </c>
      <c r="C458" s="149">
        <v>2457</v>
      </c>
      <c r="D458" s="149" t="s">
        <v>1876</v>
      </c>
      <c r="E458" s="149" t="s">
        <v>1877</v>
      </c>
      <c r="F458" s="149" t="s">
        <v>267</v>
      </c>
      <c r="G458" s="149" t="s">
        <v>143</v>
      </c>
      <c r="H458" s="151" t="str">
        <f t="shared" si="36"/>
        <v>1995/06/13</v>
      </c>
      <c r="I458" s="149" t="s">
        <v>263</v>
      </c>
      <c r="J458" s="149" t="s">
        <v>621</v>
      </c>
      <c r="K458" s="101" t="str">
        <f t="shared" si="37"/>
        <v>95</v>
      </c>
      <c r="L458" s="101" t="str">
        <f t="shared" si="38"/>
        <v>06</v>
      </c>
      <c r="M458" s="101" t="str">
        <f t="shared" si="39"/>
        <v>13</v>
      </c>
    </row>
    <row r="459" spans="1:13">
      <c r="A459" t="str">
        <f t="shared" si="35"/>
        <v>高知大学2458男</v>
      </c>
      <c r="B459" s="149" t="s">
        <v>1787</v>
      </c>
      <c r="C459" s="149">
        <v>2458</v>
      </c>
      <c r="D459" s="149" t="s">
        <v>1878</v>
      </c>
      <c r="E459" s="149" t="s">
        <v>1879</v>
      </c>
      <c r="F459" s="149" t="s">
        <v>267</v>
      </c>
      <c r="G459" s="149" t="s">
        <v>143</v>
      </c>
      <c r="H459" s="151" t="str">
        <f t="shared" si="36"/>
        <v>1995/10/10</v>
      </c>
      <c r="I459" s="149" t="s">
        <v>263</v>
      </c>
      <c r="J459" s="149" t="s">
        <v>3797</v>
      </c>
      <c r="K459" s="101" t="str">
        <f t="shared" si="37"/>
        <v>95</v>
      </c>
      <c r="L459" s="101" t="str">
        <f t="shared" si="38"/>
        <v>10</v>
      </c>
      <c r="M459" s="101" t="str">
        <f t="shared" si="39"/>
        <v>10</v>
      </c>
    </row>
    <row r="460" spans="1:13">
      <c r="A460" t="str">
        <f t="shared" si="35"/>
        <v>至誠館大学2459男</v>
      </c>
      <c r="B460" s="149" t="s">
        <v>1880</v>
      </c>
      <c r="C460" s="149">
        <v>2459</v>
      </c>
      <c r="D460" s="149" t="s">
        <v>1881</v>
      </c>
      <c r="E460" s="149" t="s">
        <v>1882</v>
      </c>
      <c r="F460" s="149" t="s">
        <v>265</v>
      </c>
      <c r="G460" s="149" t="s">
        <v>143</v>
      </c>
      <c r="H460" s="151" t="str">
        <f t="shared" si="36"/>
        <v>1994/10/20</v>
      </c>
      <c r="I460" s="149" t="s">
        <v>269</v>
      </c>
      <c r="J460" s="149" t="s">
        <v>772</v>
      </c>
      <c r="K460" s="101" t="str">
        <f t="shared" si="37"/>
        <v>94</v>
      </c>
      <c r="L460" s="101" t="str">
        <f t="shared" si="38"/>
        <v>10</v>
      </c>
      <c r="M460" s="101" t="str">
        <f t="shared" si="39"/>
        <v>20</v>
      </c>
    </row>
    <row r="461" spans="1:13">
      <c r="A461" t="str">
        <f t="shared" si="35"/>
        <v>至誠館大学2460男</v>
      </c>
      <c r="B461" s="149" t="s">
        <v>1880</v>
      </c>
      <c r="C461" s="149">
        <v>2460</v>
      </c>
      <c r="D461" s="149" t="s">
        <v>320</v>
      </c>
      <c r="E461" s="149" t="s">
        <v>274</v>
      </c>
      <c r="F461" s="149" t="s">
        <v>265</v>
      </c>
      <c r="G461" s="149" t="s">
        <v>143</v>
      </c>
      <c r="H461" s="151" t="str">
        <f t="shared" si="36"/>
        <v>1994/05/15</v>
      </c>
      <c r="I461" s="149" t="s">
        <v>269</v>
      </c>
      <c r="J461" s="149" t="s">
        <v>867</v>
      </c>
      <c r="K461" s="101" t="str">
        <f t="shared" si="37"/>
        <v>94</v>
      </c>
      <c r="L461" s="101" t="str">
        <f t="shared" si="38"/>
        <v>05</v>
      </c>
      <c r="M461" s="101" t="str">
        <f t="shared" si="39"/>
        <v>15</v>
      </c>
    </row>
    <row r="462" spans="1:13">
      <c r="A462" t="str">
        <f t="shared" si="35"/>
        <v>至誠館大学2461男</v>
      </c>
      <c r="B462" s="149" t="s">
        <v>1880</v>
      </c>
      <c r="C462" s="149">
        <v>2461</v>
      </c>
      <c r="D462" s="149" t="s">
        <v>1883</v>
      </c>
      <c r="E462" s="149" t="s">
        <v>1884</v>
      </c>
      <c r="F462" s="149" t="s">
        <v>267</v>
      </c>
      <c r="G462" s="149" t="s">
        <v>143</v>
      </c>
      <c r="H462" s="151" t="str">
        <f t="shared" si="36"/>
        <v>1995/06/05</v>
      </c>
      <c r="I462" s="149" t="s">
        <v>269</v>
      </c>
      <c r="J462" s="149" t="s">
        <v>845</v>
      </c>
      <c r="K462" s="101" t="str">
        <f t="shared" si="37"/>
        <v>95</v>
      </c>
      <c r="L462" s="101" t="str">
        <f t="shared" si="38"/>
        <v>06</v>
      </c>
      <c r="M462" s="101" t="str">
        <f t="shared" si="39"/>
        <v>05</v>
      </c>
    </row>
    <row r="463" spans="1:13">
      <c r="A463" t="str">
        <f t="shared" si="35"/>
        <v>至誠館大学2462男</v>
      </c>
      <c r="B463" s="149" t="s">
        <v>1880</v>
      </c>
      <c r="C463" s="149">
        <v>2462</v>
      </c>
      <c r="D463" s="149" t="s">
        <v>1885</v>
      </c>
      <c r="E463" s="149" t="s">
        <v>1886</v>
      </c>
      <c r="F463" s="149" t="s">
        <v>267</v>
      </c>
      <c r="G463" s="149" t="s">
        <v>143</v>
      </c>
      <c r="H463" s="151" t="str">
        <f t="shared" si="36"/>
        <v>1996/03/05</v>
      </c>
      <c r="I463" s="149" t="s">
        <v>275</v>
      </c>
      <c r="J463" s="149" t="s">
        <v>619</v>
      </c>
      <c r="K463" s="101" t="str">
        <f t="shared" si="37"/>
        <v>96</v>
      </c>
      <c r="L463" s="101" t="str">
        <f t="shared" si="38"/>
        <v>03</v>
      </c>
      <c r="M463" s="101" t="str">
        <f t="shared" si="39"/>
        <v>05</v>
      </c>
    </row>
    <row r="464" spans="1:13">
      <c r="A464" t="str">
        <f t="shared" si="35"/>
        <v>至誠館大学2463男</v>
      </c>
      <c r="B464" s="149" t="s">
        <v>1880</v>
      </c>
      <c r="C464" s="149">
        <v>2463</v>
      </c>
      <c r="D464" s="149" t="s">
        <v>1887</v>
      </c>
      <c r="E464" s="149" t="s">
        <v>1888</v>
      </c>
      <c r="F464" s="149" t="s">
        <v>267</v>
      </c>
      <c r="G464" s="149" t="s">
        <v>143</v>
      </c>
      <c r="H464" s="151" t="str">
        <f t="shared" si="36"/>
        <v>1995/08/02</v>
      </c>
      <c r="I464" s="149" t="s">
        <v>269</v>
      </c>
      <c r="J464" s="149" t="s">
        <v>683</v>
      </c>
      <c r="K464" s="101" t="str">
        <f t="shared" si="37"/>
        <v>95</v>
      </c>
      <c r="L464" s="101" t="str">
        <f t="shared" si="38"/>
        <v>08</v>
      </c>
      <c r="M464" s="101" t="str">
        <f t="shared" si="39"/>
        <v>02</v>
      </c>
    </row>
    <row r="465" spans="1:13">
      <c r="A465" t="str">
        <f t="shared" si="35"/>
        <v>至誠館大学2464男</v>
      </c>
      <c r="B465" s="149" t="s">
        <v>1880</v>
      </c>
      <c r="C465" s="149">
        <v>2464</v>
      </c>
      <c r="D465" s="149" t="s">
        <v>1889</v>
      </c>
      <c r="E465" s="149" t="s">
        <v>1890</v>
      </c>
      <c r="F465" s="149" t="s">
        <v>267</v>
      </c>
      <c r="G465" s="149" t="s">
        <v>143</v>
      </c>
      <c r="H465" s="151" t="str">
        <f t="shared" si="36"/>
        <v>1995/06/13</v>
      </c>
      <c r="I465" s="149" t="s">
        <v>269</v>
      </c>
      <c r="J465" s="149" t="s">
        <v>621</v>
      </c>
      <c r="K465" s="101" t="str">
        <f t="shared" si="37"/>
        <v>95</v>
      </c>
      <c r="L465" s="101" t="str">
        <f t="shared" si="38"/>
        <v>06</v>
      </c>
      <c r="M465" s="101" t="str">
        <f t="shared" si="39"/>
        <v>13</v>
      </c>
    </row>
    <row r="466" spans="1:13">
      <c r="A466" t="str">
        <f t="shared" si="35"/>
        <v>至誠館大学2465男</v>
      </c>
      <c r="B466" s="149" t="s">
        <v>1880</v>
      </c>
      <c r="C466" s="149">
        <v>2465</v>
      </c>
      <c r="D466" s="149" t="s">
        <v>1891</v>
      </c>
      <c r="E466" s="149" t="s">
        <v>1892</v>
      </c>
      <c r="F466" s="149" t="s">
        <v>267</v>
      </c>
      <c r="G466" s="149" t="s">
        <v>143</v>
      </c>
      <c r="H466" s="151" t="str">
        <f t="shared" si="36"/>
        <v>1996/02/25</v>
      </c>
      <c r="I466" s="149" t="s">
        <v>269</v>
      </c>
      <c r="J466" s="149" t="s">
        <v>3798</v>
      </c>
      <c r="K466" s="101" t="str">
        <f t="shared" si="37"/>
        <v>96</v>
      </c>
      <c r="L466" s="101" t="str">
        <f t="shared" si="38"/>
        <v>02</v>
      </c>
      <c r="M466" s="101" t="str">
        <f t="shared" si="39"/>
        <v>25</v>
      </c>
    </row>
    <row r="467" spans="1:13">
      <c r="A467" t="str">
        <f t="shared" si="35"/>
        <v>至誠館大学2466男</v>
      </c>
      <c r="B467" s="149" t="s">
        <v>1880</v>
      </c>
      <c r="C467" s="149">
        <v>2466</v>
      </c>
      <c r="D467" s="149" t="s">
        <v>1893</v>
      </c>
      <c r="E467" s="149" t="s">
        <v>1894</v>
      </c>
      <c r="F467" s="149" t="s">
        <v>267</v>
      </c>
      <c r="G467" s="149" t="s">
        <v>143</v>
      </c>
      <c r="H467" s="151" t="str">
        <f t="shared" si="36"/>
        <v>1995/11/07</v>
      </c>
      <c r="I467" s="149" t="s">
        <v>269</v>
      </c>
      <c r="J467" s="149" t="s">
        <v>863</v>
      </c>
      <c r="K467" s="101" t="str">
        <f t="shared" si="37"/>
        <v>95</v>
      </c>
      <c r="L467" s="101" t="str">
        <f t="shared" si="38"/>
        <v>11</v>
      </c>
      <c r="M467" s="101" t="str">
        <f t="shared" si="39"/>
        <v>07</v>
      </c>
    </row>
    <row r="468" spans="1:13">
      <c r="A468" t="str">
        <f t="shared" si="35"/>
        <v>香川大学2467男</v>
      </c>
      <c r="B468" s="149" t="s">
        <v>1895</v>
      </c>
      <c r="C468" s="149">
        <v>2467</v>
      </c>
      <c r="D468" s="149" t="s">
        <v>1896</v>
      </c>
      <c r="E468" s="149" t="s">
        <v>1897</v>
      </c>
      <c r="F468" s="149" t="s">
        <v>265</v>
      </c>
      <c r="G468" s="149" t="s">
        <v>143</v>
      </c>
      <c r="H468" s="151" t="str">
        <f t="shared" si="36"/>
        <v>1994/10/23</v>
      </c>
      <c r="I468" s="149" t="s">
        <v>289</v>
      </c>
      <c r="J468" s="149" t="s">
        <v>3768</v>
      </c>
      <c r="K468" s="101" t="str">
        <f t="shared" si="37"/>
        <v>94</v>
      </c>
      <c r="L468" s="101" t="str">
        <f t="shared" si="38"/>
        <v>10</v>
      </c>
      <c r="M468" s="101" t="str">
        <f t="shared" si="39"/>
        <v>23</v>
      </c>
    </row>
    <row r="469" spans="1:13">
      <c r="A469" t="str">
        <f t="shared" si="35"/>
        <v>香川大学2468男</v>
      </c>
      <c r="B469" s="149" t="s">
        <v>1895</v>
      </c>
      <c r="C469" s="149">
        <v>2468</v>
      </c>
      <c r="D469" s="149" t="s">
        <v>1898</v>
      </c>
      <c r="E469" s="149" t="s">
        <v>1899</v>
      </c>
      <c r="F469" s="149" t="s">
        <v>267</v>
      </c>
      <c r="G469" s="149" t="s">
        <v>143</v>
      </c>
      <c r="H469" s="151" t="str">
        <f t="shared" si="36"/>
        <v>1995/10/28</v>
      </c>
      <c r="I469" s="149" t="s">
        <v>289</v>
      </c>
      <c r="J469" s="149" t="s">
        <v>3799</v>
      </c>
      <c r="K469" s="101" t="str">
        <f t="shared" si="37"/>
        <v>95</v>
      </c>
      <c r="L469" s="101" t="str">
        <f t="shared" si="38"/>
        <v>10</v>
      </c>
      <c r="M469" s="101" t="str">
        <f t="shared" si="39"/>
        <v>28</v>
      </c>
    </row>
    <row r="470" spans="1:13">
      <c r="A470" t="str">
        <f t="shared" si="35"/>
        <v>香川大学2469男</v>
      </c>
      <c r="B470" s="149" t="s">
        <v>1895</v>
      </c>
      <c r="C470" s="149">
        <v>2469</v>
      </c>
      <c r="D470" s="149" t="s">
        <v>1900</v>
      </c>
      <c r="E470" s="149" t="s">
        <v>1901</v>
      </c>
      <c r="F470" s="149" t="s">
        <v>265</v>
      </c>
      <c r="G470" s="149" t="s">
        <v>143</v>
      </c>
      <c r="H470" s="151" t="str">
        <f t="shared" si="36"/>
        <v>1994/10/28</v>
      </c>
      <c r="I470" s="149" t="s">
        <v>289</v>
      </c>
      <c r="J470" s="149" t="s">
        <v>3800</v>
      </c>
      <c r="K470" s="101" t="str">
        <f t="shared" si="37"/>
        <v>94</v>
      </c>
      <c r="L470" s="101" t="str">
        <f t="shared" si="38"/>
        <v>10</v>
      </c>
      <c r="M470" s="101" t="str">
        <f t="shared" si="39"/>
        <v>28</v>
      </c>
    </row>
    <row r="471" spans="1:13">
      <c r="A471" t="str">
        <f t="shared" si="35"/>
        <v>香川大学2470男</v>
      </c>
      <c r="B471" s="149" t="s">
        <v>1895</v>
      </c>
      <c r="C471" s="149">
        <v>2470</v>
      </c>
      <c r="D471" s="149" t="s">
        <v>1902</v>
      </c>
      <c r="E471" s="149" t="s">
        <v>1903</v>
      </c>
      <c r="F471" s="149" t="s">
        <v>265</v>
      </c>
      <c r="G471" s="149" t="s">
        <v>143</v>
      </c>
      <c r="H471" s="151" t="str">
        <f t="shared" si="36"/>
        <v>1994/10/07</v>
      </c>
      <c r="I471" s="149" t="s">
        <v>289</v>
      </c>
      <c r="J471" s="149" t="s">
        <v>3735</v>
      </c>
      <c r="K471" s="101" t="str">
        <f t="shared" si="37"/>
        <v>94</v>
      </c>
      <c r="L471" s="101" t="str">
        <f t="shared" si="38"/>
        <v>10</v>
      </c>
      <c r="M471" s="101" t="str">
        <f t="shared" si="39"/>
        <v>07</v>
      </c>
    </row>
    <row r="472" spans="1:13">
      <c r="A472" t="str">
        <f t="shared" si="35"/>
        <v>香川大学2471男</v>
      </c>
      <c r="B472" s="149" t="s">
        <v>1895</v>
      </c>
      <c r="C472" s="149">
        <v>2471</v>
      </c>
      <c r="D472" s="149" t="s">
        <v>1904</v>
      </c>
      <c r="E472" s="149" t="s">
        <v>1905</v>
      </c>
      <c r="F472" s="149" t="s">
        <v>265</v>
      </c>
      <c r="G472" s="149" t="s">
        <v>143</v>
      </c>
      <c r="H472" s="151" t="str">
        <f t="shared" si="36"/>
        <v>1995/02/24</v>
      </c>
      <c r="I472" s="149" t="s">
        <v>289</v>
      </c>
      <c r="J472" s="149" t="s">
        <v>3710</v>
      </c>
      <c r="K472" s="101" t="str">
        <f t="shared" si="37"/>
        <v>95</v>
      </c>
      <c r="L472" s="101" t="str">
        <f t="shared" si="38"/>
        <v>02</v>
      </c>
      <c r="M472" s="101" t="str">
        <f t="shared" si="39"/>
        <v>24</v>
      </c>
    </row>
    <row r="473" spans="1:13">
      <c r="A473" t="str">
        <f t="shared" si="35"/>
        <v>香川大学2472男</v>
      </c>
      <c r="B473" s="149" t="s">
        <v>1895</v>
      </c>
      <c r="C473" s="149">
        <v>2472</v>
      </c>
      <c r="D473" s="149" t="s">
        <v>1906</v>
      </c>
      <c r="E473" s="149" t="s">
        <v>1907</v>
      </c>
      <c r="F473" s="149" t="s">
        <v>260</v>
      </c>
      <c r="G473" s="149" t="s">
        <v>143</v>
      </c>
      <c r="H473" s="151" t="str">
        <f t="shared" si="36"/>
        <v>1994/02/19</v>
      </c>
      <c r="I473" s="149" t="s">
        <v>282</v>
      </c>
      <c r="J473" s="149" t="s">
        <v>676</v>
      </c>
      <c r="K473" s="101" t="str">
        <f t="shared" si="37"/>
        <v>94</v>
      </c>
      <c r="L473" s="101" t="str">
        <f t="shared" si="38"/>
        <v>02</v>
      </c>
      <c r="M473" s="101" t="str">
        <f t="shared" si="39"/>
        <v>19</v>
      </c>
    </row>
    <row r="474" spans="1:13">
      <c r="A474" t="str">
        <f t="shared" si="35"/>
        <v>香川大学2473男</v>
      </c>
      <c r="B474" s="149" t="s">
        <v>1895</v>
      </c>
      <c r="C474" s="149">
        <v>2473</v>
      </c>
      <c r="D474" s="149" t="s">
        <v>1908</v>
      </c>
      <c r="E474" s="149" t="s">
        <v>1909</v>
      </c>
      <c r="F474" s="149" t="s">
        <v>260</v>
      </c>
      <c r="G474" s="149" t="s">
        <v>143</v>
      </c>
      <c r="H474" s="151" t="str">
        <f t="shared" si="36"/>
        <v>1994/01/07</v>
      </c>
      <c r="I474" s="149" t="s">
        <v>289</v>
      </c>
      <c r="J474" s="149" t="s">
        <v>3801</v>
      </c>
      <c r="K474" s="101" t="str">
        <f t="shared" si="37"/>
        <v>94</v>
      </c>
      <c r="L474" s="101" t="str">
        <f t="shared" si="38"/>
        <v>01</v>
      </c>
      <c r="M474" s="101" t="str">
        <f t="shared" si="39"/>
        <v>07</v>
      </c>
    </row>
    <row r="475" spans="1:13">
      <c r="A475" t="str">
        <f t="shared" si="35"/>
        <v>香川大学2474男</v>
      </c>
      <c r="B475" s="149" t="s">
        <v>1895</v>
      </c>
      <c r="C475" s="149">
        <v>2474</v>
      </c>
      <c r="D475" s="149" t="s">
        <v>1910</v>
      </c>
      <c r="E475" s="149" t="s">
        <v>1911</v>
      </c>
      <c r="F475" s="149" t="s">
        <v>260</v>
      </c>
      <c r="G475" s="149" t="s">
        <v>143</v>
      </c>
      <c r="H475" s="151" t="str">
        <f t="shared" si="36"/>
        <v>1993/05/03</v>
      </c>
      <c r="I475" s="149" t="s">
        <v>289</v>
      </c>
      <c r="J475" s="149" t="s">
        <v>578</v>
      </c>
      <c r="K475" s="101" t="str">
        <f t="shared" si="37"/>
        <v>93</v>
      </c>
      <c r="L475" s="101" t="str">
        <f t="shared" si="38"/>
        <v>05</v>
      </c>
      <c r="M475" s="101" t="str">
        <f t="shared" si="39"/>
        <v>03</v>
      </c>
    </row>
    <row r="476" spans="1:13">
      <c r="A476" t="str">
        <f t="shared" si="35"/>
        <v>香川大学2475男</v>
      </c>
      <c r="B476" s="149" t="s">
        <v>1895</v>
      </c>
      <c r="C476" s="149">
        <v>2475</v>
      </c>
      <c r="D476" s="149" t="s">
        <v>1912</v>
      </c>
      <c r="E476" s="149" t="s">
        <v>1913</v>
      </c>
      <c r="F476" s="149" t="s">
        <v>839</v>
      </c>
      <c r="G476" s="149" t="s">
        <v>143</v>
      </c>
      <c r="H476" s="151" t="str">
        <f t="shared" si="36"/>
        <v>1990/07/10</v>
      </c>
      <c r="I476" s="149" t="s">
        <v>289</v>
      </c>
      <c r="J476" s="149" t="s">
        <v>3802</v>
      </c>
      <c r="K476" s="101" t="str">
        <f t="shared" si="37"/>
        <v>90</v>
      </c>
      <c r="L476" s="101" t="str">
        <f t="shared" si="38"/>
        <v>07</v>
      </c>
      <c r="M476" s="101" t="str">
        <f t="shared" si="39"/>
        <v>10</v>
      </c>
    </row>
    <row r="477" spans="1:13">
      <c r="A477" t="str">
        <f t="shared" si="35"/>
        <v>香川大学2476男</v>
      </c>
      <c r="B477" s="149" t="s">
        <v>1895</v>
      </c>
      <c r="C477" s="149">
        <v>2476</v>
      </c>
      <c r="D477" s="149" t="s">
        <v>1914</v>
      </c>
      <c r="E477" s="149" t="s">
        <v>1915</v>
      </c>
      <c r="F477" s="149" t="s">
        <v>267</v>
      </c>
      <c r="G477" s="149" t="s">
        <v>143</v>
      </c>
      <c r="H477" s="151" t="str">
        <f t="shared" si="36"/>
        <v>1996/02/22</v>
      </c>
      <c r="I477" s="149" t="s">
        <v>289</v>
      </c>
      <c r="J477" s="149" t="s">
        <v>899</v>
      </c>
      <c r="K477" s="101" t="str">
        <f t="shared" si="37"/>
        <v>96</v>
      </c>
      <c r="L477" s="101" t="str">
        <f t="shared" si="38"/>
        <v>02</v>
      </c>
      <c r="M477" s="101" t="str">
        <f t="shared" si="39"/>
        <v>22</v>
      </c>
    </row>
    <row r="478" spans="1:13">
      <c r="A478" t="str">
        <f t="shared" si="35"/>
        <v>香川大学2477男</v>
      </c>
      <c r="B478" s="149" t="s">
        <v>1895</v>
      </c>
      <c r="C478" s="149">
        <v>2477</v>
      </c>
      <c r="D478" s="149" t="s">
        <v>1916</v>
      </c>
      <c r="E478" s="149" t="s">
        <v>1917</v>
      </c>
      <c r="F478" s="149" t="s">
        <v>260</v>
      </c>
      <c r="G478" s="149" t="s">
        <v>143</v>
      </c>
      <c r="H478" s="151" t="str">
        <f t="shared" si="36"/>
        <v>1993/07/07</v>
      </c>
      <c r="I478" s="149" t="s">
        <v>289</v>
      </c>
      <c r="J478" s="149" t="s">
        <v>333</v>
      </c>
      <c r="K478" s="101" t="str">
        <f t="shared" si="37"/>
        <v>93</v>
      </c>
      <c r="L478" s="101" t="str">
        <f t="shared" si="38"/>
        <v>07</v>
      </c>
      <c r="M478" s="101" t="str">
        <f t="shared" si="39"/>
        <v>07</v>
      </c>
    </row>
    <row r="479" spans="1:13">
      <c r="A479" t="str">
        <f t="shared" si="35"/>
        <v>香川大学2478男</v>
      </c>
      <c r="B479" s="149" t="s">
        <v>1895</v>
      </c>
      <c r="C479" s="149">
        <v>2478</v>
      </c>
      <c r="D479" s="149" t="s">
        <v>1918</v>
      </c>
      <c r="E479" s="149" t="s">
        <v>1919</v>
      </c>
      <c r="F479" s="149" t="s">
        <v>267</v>
      </c>
      <c r="G479" s="149" t="s">
        <v>143</v>
      </c>
      <c r="H479" s="151" t="str">
        <f t="shared" si="36"/>
        <v>1995/05/02</v>
      </c>
      <c r="I479" s="149" t="s">
        <v>289</v>
      </c>
      <c r="J479" s="149" t="s">
        <v>508</v>
      </c>
      <c r="K479" s="101" t="str">
        <f t="shared" si="37"/>
        <v>95</v>
      </c>
      <c r="L479" s="101" t="str">
        <f t="shared" si="38"/>
        <v>05</v>
      </c>
      <c r="M479" s="101" t="str">
        <f t="shared" si="39"/>
        <v>02</v>
      </c>
    </row>
    <row r="480" spans="1:13">
      <c r="A480" t="str">
        <f t="shared" si="35"/>
        <v>香川大学2479男</v>
      </c>
      <c r="B480" s="149" t="s">
        <v>1895</v>
      </c>
      <c r="C480" s="149">
        <v>2479</v>
      </c>
      <c r="D480" s="149" t="s">
        <v>1920</v>
      </c>
      <c r="E480" s="149" t="s">
        <v>1921</v>
      </c>
      <c r="F480" s="149" t="s">
        <v>260</v>
      </c>
      <c r="G480" s="149" t="s">
        <v>143</v>
      </c>
      <c r="H480" s="151" t="str">
        <f t="shared" si="36"/>
        <v>1993/06/30</v>
      </c>
      <c r="I480" s="149" t="s">
        <v>289</v>
      </c>
      <c r="J480" s="149" t="s">
        <v>633</v>
      </c>
      <c r="K480" s="101" t="str">
        <f t="shared" si="37"/>
        <v>93</v>
      </c>
      <c r="L480" s="101" t="str">
        <f t="shared" si="38"/>
        <v>06</v>
      </c>
      <c r="M480" s="101" t="str">
        <f t="shared" si="39"/>
        <v>30</v>
      </c>
    </row>
    <row r="481" spans="1:13">
      <c r="A481" t="str">
        <f t="shared" si="35"/>
        <v>香川大学2480男</v>
      </c>
      <c r="B481" s="149" t="s">
        <v>1895</v>
      </c>
      <c r="C481" s="149">
        <v>2480</v>
      </c>
      <c r="D481" s="149" t="s">
        <v>1922</v>
      </c>
      <c r="E481" s="149" t="s">
        <v>1923</v>
      </c>
      <c r="F481" s="149" t="s">
        <v>260</v>
      </c>
      <c r="G481" s="149" t="s">
        <v>143</v>
      </c>
      <c r="H481" s="151" t="str">
        <f t="shared" si="36"/>
        <v>1992/08/27</v>
      </c>
      <c r="I481" s="149" t="s">
        <v>289</v>
      </c>
      <c r="J481" s="149" t="s">
        <v>3803</v>
      </c>
      <c r="K481" s="101" t="str">
        <f t="shared" si="37"/>
        <v>92</v>
      </c>
      <c r="L481" s="101" t="str">
        <f t="shared" si="38"/>
        <v>08</v>
      </c>
      <c r="M481" s="101" t="str">
        <f t="shared" si="39"/>
        <v>27</v>
      </c>
    </row>
    <row r="482" spans="1:13">
      <c r="A482" t="str">
        <f t="shared" si="35"/>
        <v>香川大学2481男</v>
      </c>
      <c r="B482" s="149" t="s">
        <v>1895</v>
      </c>
      <c r="C482" s="149">
        <v>2481</v>
      </c>
      <c r="D482" s="149" t="s">
        <v>1924</v>
      </c>
      <c r="E482" s="149" t="s">
        <v>1925</v>
      </c>
      <c r="F482" s="149" t="s">
        <v>260</v>
      </c>
      <c r="G482" s="149" t="s">
        <v>143</v>
      </c>
      <c r="H482" s="151" t="str">
        <f t="shared" si="36"/>
        <v>1994/03/25</v>
      </c>
      <c r="I482" s="149" t="s">
        <v>289</v>
      </c>
      <c r="J482" s="149" t="s">
        <v>665</v>
      </c>
      <c r="K482" s="101" t="str">
        <f t="shared" si="37"/>
        <v>94</v>
      </c>
      <c r="L482" s="101" t="str">
        <f t="shared" si="38"/>
        <v>03</v>
      </c>
      <c r="M482" s="101" t="str">
        <f t="shared" si="39"/>
        <v>25</v>
      </c>
    </row>
    <row r="483" spans="1:13">
      <c r="A483" t="str">
        <f t="shared" si="35"/>
        <v>香川大学2482男</v>
      </c>
      <c r="B483" s="149" t="s">
        <v>1895</v>
      </c>
      <c r="C483" s="149">
        <v>2482</v>
      </c>
      <c r="D483" s="149" t="s">
        <v>1926</v>
      </c>
      <c r="E483" s="149" t="s">
        <v>1927</v>
      </c>
      <c r="F483" s="149" t="s">
        <v>265</v>
      </c>
      <c r="G483" s="149" t="s">
        <v>143</v>
      </c>
      <c r="H483" s="151" t="str">
        <f t="shared" si="36"/>
        <v>1993/09/25</v>
      </c>
      <c r="I483" s="149" t="s">
        <v>289</v>
      </c>
      <c r="J483" s="149" t="s">
        <v>3804</v>
      </c>
      <c r="K483" s="101" t="str">
        <f t="shared" si="37"/>
        <v>93</v>
      </c>
      <c r="L483" s="101" t="str">
        <f t="shared" si="38"/>
        <v>09</v>
      </c>
      <c r="M483" s="101" t="str">
        <f t="shared" si="39"/>
        <v>25</v>
      </c>
    </row>
    <row r="484" spans="1:13">
      <c r="A484" t="str">
        <f t="shared" si="35"/>
        <v>香川大学2483男</v>
      </c>
      <c r="B484" s="149" t="s">
        <v>1895</v>
      </c>
      <c r="C484" s="149">
        <v>2483</v>
      </c>
      <c r="D484" s="149" t="s">
        <v>1928</v>
      </c>
      <c r="E484" s="149" t="s">
        <v>1929</v>
      </c>
      <c r="F484" s="149" t="s">
        <v>267</v>
      </c>
      <c r="G484" s="149" t="s">
        <v>143</v>
      </c>
      <c r="H484" s="151" t="str">
        <f t="shared" si="36"/>
        <v>1995/09/28</v>
      </c>
      <c r="I484" s="149" t="s">
        <v>289</v>
      </c>
      <c r="J484" s="149" t="s">
        <v>506</v>
      </c>
      <c r="K484" s="101" t="str">
        <f t="shared" si="37"/>
        <v>95</v>
      </c>
      <c r="L484" s="101" t="str">
        <f t="shared" si="38"/>
        <v>09</v>
      </c>
      <c r="M484" s="101" t="str">
        <f t="shared" si="39"/>
        <v>28</v>
      </c>
    </row>
    <row r="485" spans="1:13">
      <c r="A485" t="str">
        <f t="shared" si="35"/>
        <v>香川大学2484男</v>
      </c>
      <c r="B485" s="149" t="s">
        <v>1895</v>
      </c>
      <c r="C485" s="149">
        <v>2484</v>
      </c>
      <c r="D485" s="149" t="s">
        <v>1930</v>
      </c>
      <c r="E485" s="149" t="s">
        <v>1931</v>
      </c>
      <c r="F485" s="149" t="s">
        <v>265</v>
      </c>
      <c r="G485" s="149" t="s">
        <v>143</v>
      </c>
      <c r="H485" s="151" t="str">
        <f t="shared" si="36"/>
        <v>1994/12/29</v>
      </c>
      <c r="I485" s="149" t="s">
        <v>289</v>
      </c>
      <c r="J485" s="149" t="s">
        <v>3662</v>
      </c>
      <c r="K485" s="101" t="str">
        <f t="shared" si="37"/>
        <v>94</v>
      </c>
      <c r="L485" s="101" t="str">
        <f t="shared" si="38"/>
        <v>12</v>
      </c>
      <c r="M485" s="101" t="str">
        <f t="shared" si="39"/>
        <v>29</v>
      </c>
    </row>
    <row r="486" spans="1:13">
      <c r="A486" t="str">
        <f t="shared" si="35"/>
        <v>近畿大学中国四国2485男</v>
      </c>
      <c r="B486" s="149" t="s">
        <v>1932</v>
      </c>
      <c r="C486" s="149">
        <v>2485</v>
      </c>
      <c r="D486" s="149" t="s">
        <v>1933</v>
      </c>
      <c r="E486" s="149" t="s">
        <v>1934</v>
      </c>
      <c r="F486" s="149" t="s">
        <v>267</v>
      </c>
      <c r="G486" s="149" t="s">
        <v>143</v>
      </c>
      <c r="H486" s="151" t="str">
        <f t="shared" si="36"/>
        <v>1995/10/21</v>
      </c>
      <c r="I486" s="149" t="s">
        <v>295</v>
      </c>
      <c r="J486" s="149" t="s">
        <v>817</v>
      </c>
      <c r="K486" s="101" t="str">
        <f t="shared" si="37"/>
        <v>95</v>
      </c>
      <c r="L486" s="101" t="str">
        <f t="shared" si="38"/>
        <v>10</v>
      </c>
      <c r="M486" s="101" t="str">
        <f t="shared" si="39"/>
        <v>21</v>
      </c>
    </row>
    <row r="487" spans="1:13">
      <c r="A487" t="str">
        <f t="shared" si="35"/>
        <v>近畿大学中国四国2486男</v>
      </c>
      <c r="B487" s="149" t="s">
        <v>1932</v>
      </c>
      <c r="C487" s="149">
        <v>2486</v>
      </c>
      <c r="D487" s="149" t="s">
        <v>1935</v>
      </c>
      <c r="E487" s="149" t="s">
        <v>1936</v>
      </c>
      <c r="F487" s="149" t="s">
        <v>267</v>
      </c>
      <c r="G487" s="149" t="s">
        <v>143</v>
      </c>
      <c r="H487" s="151" t="str">
        <f t="shared" si="36"/>
        <v>1995/09/07</v>
      </c>
      <c r="I487" s="149" t="s">
        <v>295</v>
      </c>
      <c r="J487" s="149" t="s">
        <v>3711</v>
      </c>
      <c r="K487" s="101" t="str">
        <f t="shared" si="37"/>
        <v>95</v>
      </c>
      <c r="L487" s="101" t="str">
        <f t="shared" si="38"/>
        <v>09</v>
      </c>
      <c r="M487" s="101" t="str">
        <f t="shared" si="39"/>
        <v>07</v>
      </c>
    </row>
    <row r="488" spans="1:13">
      <c r="A488" t="str">
        <f t="shared" si="35"/>
        <v>近畿大学中国四国2487男</v>
      </c>
      <c r="B488" s="149" t="s">
        <v>1932</v>
      </c>
      <c r="C488" s="149">
        <v>2487</v>
      </c>
      <c r="D488" s="149" t="s">
        <v>1937</v>
      </c>
      <c r="E488" s="149" t="s">
        <v>1938</v>
      </c>
      <c r="F488" s="149" t="s">
        <v>267</v>
      </c>
      <c r="G488" s="149" t="s">
        <v>143</v>
      </c>
      <c r="H488" s="151" t="str">
        <f t="shared" si="36"/>
        <v>1995/10/18</v>
      </c>
      <c r="I488" s="149" t="s">
        <v>295</v>
      </c>
      <c r="J488" s="149" t="s">
        <v>493</v>
      </c>
      <c r="K488" s="101" t="str">
        <f t="shared" si="37"/>
        <v>95</v>
      </c>
      <c r="L488" s="101" t="str">
        <f t="shared" si="38"/>
        <v>10</v>
      </c>
      <c r="M488" s="101" t="str">
        <f t="shared" si="39"/>
        <v>18</v>
      </c>
    </row>
    <row r="489" spans="1:13">
      <c r="A489" t="str">
        <f t="shared" si="35"/>
        <v>近畿大学中国四国2488男</v>
      </c>
      <c r="B489" s="149" t="s">
        <v>1932</v>
      </c>
      <c r="C489" s="149">
        <v>2488</v>
      </c>
      <c r="D489" s="149" t="s">
        <v>1939</v>
      </c>
      <c r="E489" s="149" t="s">
        <v>1940</v>
      </c>
      <c r="F489" s="149" t="s">
        <v>267</v>
      </c>
      <c r="G489" s="149" t="s">
        <v>143</v>
      </c>
      <c r="H489" s="151" t="str">
        <f t="shared" si="36"/>
        <v>1995/04/23</v>
      </c>
      <c r="I489" s="149" t="s">
        <v>305</v>
      </c>
      <c r="J489" s="149" t="s">
        <v>615</v>
      </c>
      <c r="K489" s="101" t="str">
        <f t="shared" si="37"/>
        <v>95</v>
      </c>
      <c r="L489" s="101" t="str">
        <f t="shared" si="38"/>
        <v>04</v>
      </c>
      <c r="M489" s="101" t="str">
        <f t="shared" si="39"/>
        <v>23</v>
      </c>
    </row>
    <row r="490" spans="1:13">
      <c r="A490" t="str">
        <f t="shared" si="35"/>
        <v>近畿大学中国四国2489男</v>
      </c>
      <c r="B490" s="149" t="s">
        <v>1932</v>
      </c>
      <c r="C490" s="149">
        <v>2489</v>
      </c>
      <c r="D490" s="149" t="s">
        <v>1941</v>
      </c>
      <c r="E490" s="149" t="s">
        <v>1942</v>
      </c>
      <c r="F490" s="149" t="s">
        <v>267</v>
      </c>
      <c r="G490" s="149" t="s">
        <v>143</v>
      </c>
      <c r="H490" s="151" t="str">
        <f t="shared" si="36"/>
        <v>1995/06/01</v>
      </c>
      <c r="I490" s="149" t="s">
        <v>295</v>
      </c>
      <c r="J490" s="149" t="s">
        <v>421</v>
      </c>
      <c r="K490" s="101" t="str">
        <f t="shared" si="37"/>
        <v>95</v>
      </c>
      <c r="L490" s="101" t="str">
        <f t="shared" si="38"/>
        <v>06</v>
      </c>
      <c r="M490" s="101" t="str">
        <f t="shared" si="39"/>
        <v>01</v>
      </c>
    </row>
    <row r="491" spans="1:13">
      <c r="A491" t="str">
        <f t="shared" si="35"/>
        <v>近畿大学中国四国2490男</v>
      </c>
      <c r="B491" s="149" t="s">
        <v>1932</v>
      </c>
      <c r="C491" s="149">
        <v>2490</v>
      </c>
      <c r="D491" s="149" t="s">
        <v>1943</v>
      </c>
      <c r="E491" s="149" t="s">
        <v>1944</v>
      </c>
      <c r="F491" s="149" t="s">
        <v>267</v>
      </c>
      <c r="G491" s="149" t="s">
        <v>143</v>
      </c>
      <c r="H491" s="151" t="str">
        <f t="shared" si="36"/>
        <v>1996/01/27</v>
      </c>
      <c r="I491" s="149" t="s">
        <v>295</v>
      </c>
      <c r="J491" s="149" t="s">
        <v>660</v>
      </c>
      <c r="K491" s="101" t="str">
        <f t="shared" si="37"/>
        <v>96</v>
      </c>
      <c r="L491" s="101" t="str">
        <f t="shared" si="38"/>
        <v>01</v>
      </c>
      <c r="M491" s="101" t="str">
        <f t="shared" si="39"/>
        <v>27</v>
      </c>
    </row>
    <row r="492" spans="1:13">
      <c r="A492" t="str">
        <f t="shared" si="35"/>
        <v>近畿大学中国四国2491男</v>
      </c>
      <c r="B492" s="149" t="s">
        <v>1932</v>
      </c>
      <c r="C492" s="149">
        <v>2491</v>
      </c>
      <c r="D492" s="149" t="s">
        <v>1945</v>
      </c>
      <c r="E492" s="149" t="s">
        <v>1946</v>
      </c>
      <c r="F492" s="149" t="s">
        <v>267</v>
      </c>
      <c r="G492" s="149" t="s">
        <v>143</v>
      </c>
      <c r="H492" s="151" t="str">
        <f t="shared" si="36"/>
        <v>1996/01/02</v>
      </c>
      <c r="I492" s="149" t="s">
        <v>277</v>
      </c>
      <c r="J492" s="149" t="s">
        <v>3805</v>
      </c>
      <c r="K492" s="101" t="str">
        <f t="shared" si="37"/>
        <v>96</v>
      </c>
      <c r="L492" s="101" t="str">
        <f t="shared" si="38"/>
        <v>01</v>
      </c>
      <c r="M492" s="101" t="str">
        <f t="shared" si="39"/>
        <v>02</v>
      </c>
    </row>
    <row r="493" spans="1:13">
      <c r="A493" t="str">
        <f t="shared" si="35"/>
        <v>近畿大学中国四国2492男</v>
      </c>
      <c r="B493" s="149" t="s">
        <v>1932</v>
      </c>
      <c r="C493" s="149">
        <v>2492</v>
      </c>
      <c r="D493" s="149" t="s">
        <v>1947</v>
      </c>
      <c r="E493" s="149" t="s">
        <v>1948</v>
      </c>
      <c r="F493" s="149" t="s">
        <v>267</v>
      </c>
      <c r="G493" s="149" t="s">
        <v>143</v>
      </c>
      <c r="H493" s="151" t="str">
        <f t="shared" si="36"/>
        <v>1995/04/24</v>
      </c>
      <c r="I493" s="149" t="s">
        <v>295</v>
      </c>
      <c r="J493" s="149" t="s">
        <v>607</v>
      </c>
      <c r="K493" s="101" t="str">
        <f t="shared" si="37"/>
        <v>95</v>
      </c>
      <c r="L493" s="101" t="str">
        <f t="shared" si="38"/>
        <v>04</v>
      </c>
      <c r="M493" s="101" t="str">
        <f t="shared" si="39"/>
        <v>24</v>
      </c>
    </row>
    <row r="494" spans="1:13">
      <c r="A494" t="str">
        <f t="shared" si="35"/>
        <v>近畿大学中国四国2493男</v>
      </c>
      <c r="B494" s="149" t="s">
        <v>1932</v>
      </c>
      <c r="C494" s="149">
        <v>2493</v>
      </c>
      <c r="D494" s="149" t="s">
        <v>1949</v>
      </c>
      <c r="E494" s="149" t="s">
        <v>1950</v>
      </c>
      <c r="F494" s="149" t="s">
        <v>267</v>
      </c>
      <c r="G494" s="149" t="s">
        <v>143</v>
      </c>
      <c r="H494" s="151" t="str">
        <f t="shared" si="36"/>
        <v>1995/09/06</v>
      </c>
      <c r="I494" s="149" t="s">
        <v>295</v>
      </c>
      <c r="J494" s="149" t="s">
        <v>897</v>
      </c>
      <c r="K494" s="101" t="str">
        <f t="shared" si="37"/>
        <v>95</v>
      </c>
      <c r="L494" s="101" t="str">
        <f t="shared" si="38"/>
        <v>09</v>
      </c>
      <c r="M494" s="101" t="str">
        <f t="shared" si="39"/>
        <v>06</v>
      </c>
    </row>
    <row r="495" spans="1:13">
      <c r="A495" t="str">
        <f t="shared" si="35"/>
        <v>近畿大学中国四国2494男</v>
      </c>
      <c r="B495" s="149" t="s">
        <v>1932</v>
      </c>
      <c r="C495" s="149">
        <v>2494</v>
      </c>
      <c r="D495" s="149" t="s">
        <v>1951</v>
      </c>
      <c r="E495" s="149" t="s">
        <v>1952</v>
      </c>
      <c r="F495" s="149" t="s">
        <v>265</v>
      </c>
      <c r="G495" s="149" t="s">
        <v>143</v>
      </c>
      <c r="H495" s="151" t="str">
        <f t="shared" si="36"/>
        <v>1995/03/24</v>
      </c>
      <c r="I495" s="149" t="s">
        <v>295</v>
      </c>
      <c r="J495" s="149" t="s">
        <v>408</v>
      </c>
      <c r="K495" s="101" t="str">
        <f t="shared" si="37"/>
        <v>95</v>
      </c>
      <c r="L495" s="101" t="str">
        <f t="shared" si="38"/>
        <v>03</v>
      </c>
      <c r="M495" s="101" t="str">
        <f t="shared" si="39"/>
        <v>24</v>
      </c>
    </row>
    <row r="496" spans="1:13">
      <c r="A496" t="str">
        <f t="shared" si="35"/>
        <v>近畿大学中国四国2495男</v>
      </c>
      <c r="B496" s="149" t="s">
        <v>1932</v>
      </c>
      <c r="C496" s="149">
        <v>2495</v>
      </c>
      <c r="D496" s="149" t="s">
        <v>1953</v>
      </c>
      <c r="E496" s="149" t="s">
        <v>1954</v>
      </c>
      <c r="F496" s="149" t="s">
        <v>265</v>
      </c>
      <c r="G496" s="149" t="s">
        <v>143</v>
      </c>
      <c r="H496" s="151" t="str">
        <f t="shared" si="36"/>
        <v>1993/05/25</v>
      </c>
      <c r="I496" s="149" t="s">
        <v>295</v>
      </c>
      <c r="J496" s="149" t="s">
        <v>559</v>
      </c>
      <c r="K496" s="101" t="str">
        <f t="shared" si="37"/>
        <v>93</v>
      </c>
      <c r="L496" s="101" t="str">
        <f t="shared" si="38"/>
        <v>05</v>
      </c>
      <c r="M496" s="101" t="str">
        <f t="shared" si="39"/>
        <v>25</v>
      </c>
    </row>
    <row r="497" spans="1:13">
      <c r="A497" t="str">
        <f t="shared" si="35"/>
        <v>近畿大学中国四国2496男</v>
      </c>
      <c r="B497" s="149" t="s">
        <v>1932</v>
      </c>
      <c r="C497" s="149">
        <v>2496</v>
      </c>
      <c r="D497" s="149" t="s">
        <v>1955</v>
      </c>
      <c r="E497" s="149" t="s">
        <v>1956</v>
      </c>
      <c r="F497" s="149" t="s">
        <v>265</v>
      </c>
      <c r="G497" s="149" t="s">
        <v>143</v>
      </c>
      <c r="H497" s="151" t="str">
        <f t="shared" si="36"/>
        <v>1993/08/13</v>
      </c>
      <c r="I497" s="149" t="s">
        <v>295</v>
      </c>
      <c r="J497" s="149" t="s">
        <v>371</v>
      </c>
      <c r="K497" s="101" t="str">
        <f t="shared" si="37"/>
        <v>93</v>
      </c>
      <c r="L497" s="101" t="str">
        <f t="shared" si="38"/>
        <v>08</v>
      </c>
      <c r="M497" s="101" t="str">
        <f t="shared" si="39"/>
        <v>13</v>
      </c>
    </row>
    <row r="498" spans="1:13">
      <c r="A498" t="str">
        <f t="shared" si="35"/>
        <v>近畿大学中国四国2497男</v>
      </c>
      <c r="B498" s="149" t="s">
        <v>1932</v>
      </c>
      <c r="C498" s="149">
        <v>2497</v>
      </c>
      <c r="D498" s="149" t="s">
        <v>1957</v>
      </c>
      <c r="E498" s="149" t="s">
        <v>1958</v>
      </c>
      <c r="F498" s="149" t="s">
        <v>265</v>
      </c>
      <c r="G498" s="149" t="s">
        <v>143</v>
      </c>
      <c r="H498" s="151" t="str">
        <f t="shared" si="36"/>
        <v>1994/04/09</v>
      </c>
      <c r="I498" s="149" t="s">
        <v>295</v>
      </c>
      <c r="J498" s="149" t="s">
        <v>475</v>
      </c>
      <c r="K498" s="101" t="str">
        <f t="shared" si="37"/>
        <v>94</v>
      </c>
      <c r="L498" s="101" t="str">
        <f t="shared" si="38"/>
        <v>04</v>
      </c>
      <c r="M498" s="101" t="str">
        <f t="shared" si="39"/>
        <v>09</v>
      </c>
    </row>
    <row r="499" spans="1:13">
      <c r="A499" t="str">
        <f t="shared" si="35"/>
        <v>近畿大学中国四国2498男</v>
      </c>
      <c r="B499" s="149" t="s">
        <v>1932</v>
      </c>
      <c r="C499" s="149">
        <v>2498</v>
      </c>
      <c r="D499" s="149" t="s">
        <v>1959</v>
      </c>
      <c r="E499" s="149" t="s">
        <v>1960</v>
      </c>
      <c r="F499" s="149" t="s">
        <v>267</v>
      </c>
      <c r="G499" s="149" t="s">
        <v>143</v>
      </c>
      <c r="H499" s="151" t="str">
        <f t="shared" si="36"/>
        <v>1996/02/11</v>
      </c>
      <c r="I499" s="149" t="s">
        <v>295</v>
      </c>
      <c r="J499" s="149" t="s">
        <v>3806</v>
      </c>
      <c r="K499" s="101" t="str">
        <f t="shared" si="37"/>
        <v>96</v>
      </c>
      <c r="L499" s="101" t="str">
        <f t="shared" si="38"/>
        <v>02</v>
      </c>
      <c r="M499" s="101" t="str">
        <f t="shared" si="39"/>
        <v>11</v>
      </c>
    </row>
    <row r="500" spans="1:13">
      <c r="A500" t="str">
        <f t="shared" si="35"/>
        <v>近畿大学中国四国2499男</v>
      </c>
      <c r="B500" s="149" t="s">
        <v>1932</v>
      </c>
      <c r="C500" s="149">
        <v>2499</v>
      </c>
      <c r="D500" s="149" t="s">
        <v>1961</v>
      </c>
      <c r="E500" s="149" t="s">
        <v>1962</v>
      </c>
      <c r="F500" s="149" t="s">
        <v>265</v>
      </c>
      <c r="G500" s="149" t="s">
        <v>143</v>
      </c>
      <c r="H500" s="151" t="str">
        <f t="shared" si="36"/>
        <v>1993/11/24</v>
      </c>
      <c r="I500" s="149" t="s">
        <v>295</v>
      </c>
      <c r="J500" s="149" t="s">
        <v>398</v>
      </c>
      <c r="K500" s="101" t="str">
        <f t="shared" si="37"/>
        <v>93</v>
      </c>
      <c r="L500" s="101" t="str">
        <f t="shared" si="38"/>
        <v>11</v>
      </c>
      <c r="M500" s="101" t="str">
        <f t="shared" si="39"/>
        <v>24</v>
      </c>
    </row>
    <row r="501" spans="1:13">
      <c r="A501" t="str">
        <f t="shared" si="35"/>
        <v>岡山大学2500男</v>
      </c>
      <c r="B501" s="149" t="s">
        <v>1963</v>
      </c>
      <c r="C501" s="149">
        <v>2500</v>
      </c>
      <c r="D501" s="149" t="s">
        <v>1964</v>
      </c>
      <c r="E501" s="149" t="s">
        <v>1965</v>
      </c>
      <c r="F501" s="149" t="s">
        <v>260</v>
      </c>
      <c r="G501" s="149" t="s">
        <v>143</v>
      </c>
      <c r="H501" s="151" t="str">
        <f t="shared" si="36"/>
        <v>1993/11/13</v>
      </c>
      <c r="I501" s="149" t="s">
        <v>299</v>
      </c>
      <c r="J501" s="149" t="s">
        <v>456</v>
      </c>
      <c r="K501" s="101" t="str">
        <f t="shared" si="37"/>
        <v>93</v>
      </c>
      <c r="L501" s="101" t="str">
        <f t="shared" si="38"/>
        <v>11</v>
      </c>
      <c r="M501" s="101" t="str">
        <f t="shared" si="39"/>
        <v>13</v>
      </c>
    </row>
    <row r="502" spans="1:13">
      <c r="A502" t="str">
        <f t="shared" si="35"/>
        <v>岡山大学2501男</v>
      </c>
      <c r="B502" s="149" t="s">
        <v>1963</v>
      </c>
      <c r="C502" s="149">
        <v>2501</v>
      </c>
      <c r="D502" s="149" t="s">
        <v>1966</v>
      </c>
      <c r="E502" s="149" t="s">
        <v>1967</v>
      </c>
      <c r="F502" s="149" t="s">
        <v>265</v>
      </c>
      <c r="G502" s="149" t="s">
        <v>143</v>
      </c>
      <c r="H502" s="151" t="str">
        <f t="shared" si="36"/>
        <v>1994/10/01</v>
      </c>
      <c r="I502" s="149" t="s">
        <v>299</v>
      </c>
      <c r="J502" s="149" t="s">
        <v>3701</v>
      </c>
      <c r="K502" s="101" t="str">
        <f t="shared" si="37"/>
        <v>94</v>
      </c>
      <c r="L502" s="101" t="str">
        <f t="shared" si="38"/>
        <v>10</v>
      </c>
      <c r="M502" s="101" t="str">
        <f t="shared" si="39"/>
        <v>01</v>
      </c>
    </row>
    <row r="503" spans="1:13">
      <c r="A503" t="str">
        <f t="shared" si="35"/>
        <v>岡山大学2502男</v>
      </c>
      <c r="B503" s="149" t="s">
        <v>1963</v>
      </c>
      <c r="C503" s="149">
        <v>2502</v>
      </c>
      <c r="D503" s="149" t="s">
        <v>1968</v>
      </c>
      <c r="E503" s="149" t="s">
        <v>1969</v>
      </c>
      <c r="F503" s="149" t="s">
        <v>265</v>
      </c>
      <c r="G503" s="149" t="s">
        <v>143</v>
      </c>
      <c r="H503" s="151" t="str">
        <f t="shared" si="36"/>
        <v>1994/07/07</v>
      </c>
      <c r="I503" s="149" t="s">
        <v>299</v>
      </c>
      <c r="J503" s="149" t="s">
        <v>543</v>
      </c>
      <c r="K503" s="101" t="str">
        <f t="shared" si="37"/>
        <v>94</v>
      </c>
      <c r="L503" s="101" t="str">
        <f t="shared" si="38"/>
        <v>07</v>
      </c>
      <c r="M503" s="101" t="str">
        <f t="shared" si="39"/>
        <v>07</v>
      </c>
    </row>
    <row r="504" spans="1:13">
      <c r="A504" t="str">
        <f t="shared" si="35"/>
        <v>岡山大学2503男</v>
      </c>
      <c r="B504" s="149" t="s">
        <v>1963</v>
      </c>
      <c r="C504" s="149">
        <v>2503</v>
      </c>
      <c r="D504" s="149" t="s">
        <v>1970</v>
      </c>
      <c r="E504" s="149" t="s">
        <v>1971</v>
      </c>
      <c r="F504" s="149" t="s">
        <v>265</v>
      </c>
      <c r="G504" s="149" t="s">
        <v>143</v>
      </c>
      <c r="H504" s="151" t="str">
        <f t="shared" si="36"/>
        <v>1993/04/22</v>
      </c>
      <c r="I504" s="149" t="s">
        <v>299</v>
      </c>
      <c r="J504" s="149" t="s">
        <v>331</v>
      </c>
      <c r="K504" s="101" t="str">
        <f t="shared" si="37"/>
        <v>93</v>
      </c>
      <c r="L504" s="101" t="str">
        <f t="shared" si="38"/>
        <v>04</v>
      </c>
      <c r="M504" s="101" t="str">
        <f t="shared" si="39"/>
        <v>22</v>
      </c>
    </row>
    <row r="505" spans="1:13">
      <c r="A505" t="str">
        <f t="shared" si="35"/>
        <v>岡山大学2504男</v>
      </c>
      <c r="B505" s="149" t="s">
        <v>1963</v>
      </c>
      <c r="C505" s="149">
        <v>2504</v>
      </c>
      <c r="D505" s="149" t="s">
        <v>1972</v>
      </c>
      <c r="E505" s="149" t="s">
        <v>1973</v>
      </c>
      <c r="F505" s="149" t="s">
        <v>265</v>
      </c>
      <c r="G505" s="149" t="s">
        <v>143</v>
      </c>
      <c r="H505" s="151" t="str">
        <f t="shared" si="36"/>
        <v>1994/11/15</v>
      </c>
      <c r="I505" s="149" t="s">
        <v>299</v>
      </c>
      <c r="J505" s="149" t="s">
        <v>639</v>
      </c>
      <c r="K505" s="101" t="str">
        <f t="shared" si="37"/>
        <v>94</v>
      </c>
      <c r="L505" s="101" t="str">
        <f t="shared" si="38"/>
        <v>11</v>
      </c>
      <c r="M505" s="101" t="str">
        <f t="shared" si="39"/>
        <v>15</v>
      </c>
    </row>
    <row r="506" spans="1:13">
      <c r="A506" t="str">
        <f t="shared" si="35"/>
        <v>岡山大学2505男</v>
      </c>
      <c r="B506" s="149" t="s">
        <v>1963</v>
      </c>
      <c r="C506" s="149">
        <v>2505</v>
      </c>
      <c r="D506" s="149" t="s">
        <v>1974</v>
      </c>
      <c r="E506" s="149" t="s">
        <v>1975</v>
      </c>
      <c r="F506" s="149" t="s">
        <v>265</v>
      </c>
      <c r="G506" s="149" t="s">
        <v>143</v>
      </c>
      <c r="H506" s="151" t="str">
        <f t="shared" si="36"/>
        <v>1992/06/26</v>
      </c>
      <c r="I506" s="149" t="s">
        <v>263</v>
      </c>
      <c r="J506" s="149" t="s">
        <v>3723</v>
      </c>
      <c r="K506" s="101" t="str">
        <f t="shared" si="37"/>
        <v>92</v>
      </c>
      <c r="L506" s="101" t="str">
        <f t="shared" si="38"/>
        <v>06</v>
      </c>
      <c r="M506" s="101" t="str">
        <f t="shared" si="39"/>
        <v>26</v>
      </c>
    </row>
    <row r="507" spans="1:13">
      <c r="A507" t="str">
        <f t="shared" si="35"/>
        <v>岡山大学2506男</v>
      </c>
      <c r="B507" s="149" t="s">
        <v>1963</v>
      </c>
      <c r="C507" s="149">
        <v>2506</v>
      </c>
      <c r="D507" s="149" t="s">
        <v>1976</v>
      </c>
      <c r="E507" s="149" t="s">
        <v>1977</v>
      </c>
      <c r="F507" s="149" t="s">
        <v>265</v>
      </c>
      <c r="G507" s="149" t="s">
        <v>143</v>
      </c>
      <c r="H507" s="151" t="str">
        <f t="shared" si="36"/>
        <v>1993/07/17</v>
      </c>
      <c r="I507" s="149" t="s">
        <v>299</v>
      </c>
      <c r="J507" s="149" t="s">
        <v>3807</v>
      </c>
      <c r="K507" s="101" t="str">
        <f t="shared" si="37"/>
        <v>93</v>
      </c>
      <c r="L507" s="101" t="str">
        <f t="shared" si="38"/>
        <v>07</v>
      </c>
      <c r="M507" s="101" t="str">
        <f t="shared" si="39"/>
        <v>17</v>
      </c>
    </row>
    <row r="508" spans="1:13">
      <c r="A508" t="str">
        <f t="shared" si="35"/>
        <v>岡山大学2507男</v>
      </c>
      <c r="B508" s="149" t="s">
        <v>1963</v>
      </c>
      <c r="C508" s="149">
        <v>2507</v>
      </c>
      <c r="D508" s="149" t="s">
        <v>1978</v>
      </c>
      <c r="E508" s="149" t="s">
        <v>1979</v>
      </c>
      <c r="F508" s="149" t="s">
        <v>265</v>
      </c>
      <c r="G508" s="149" t="s">
        <v>143</v>
      </c>
      <c r="H508" s="151" t="str">
        <f t="shared" si="36"/>
        <v>1994/11/10</v>
      </c>
      <c r="I508" s="149" t="s">
        <v>299</v>
      </c>
      <c r="J508" s="149" t="s">
        <v>751</v>
      </c>
      <c r="K508" s="101" t="str">
        <f t="shared" si="37"/>
        <v>94</v>
      </c>
      <c r="L508" s="101" t="str">
        <f t="shared" si="38"/>
        <v>11</v>
      </c>
      <c r="M508" s="101" t="str">
        <f t="shared" si="39"/>
        <v>10</v>
      </c>
    </row>
    <row r="509" spans="1:13">
      <c r="A509" t="str">
        <f t="shared" si="35"/>
        <v>岡山大学2508男</v>
      </c>
      <c r="B509" s="149" t="s">
        <v>1963</v>
      </c>
      <c r="C509" s="149">
        <v>2508</v>
      </c>
      <c r="D509" s="149" t="s">
        <v>1980</v>
      </c>
      <c r="E509" s="149" t="s">
        <v>1981</v>
      </c>
      <c r="F509" s="149" t="s">
        <v>267</v>
      </c>
      <c r="G509" s="149" t="s">
        <v>143</v>
      </c>
      <c r="H509" s="151" t="str">
        <f t="shared" si="36"/>
        <v>1994/04/21</v>
      </c>
      <c r="I509" s="149" t="s">
        <v>299</v>
      </c>
      <c r="J509" s="149" t="s">
        <v>401</v>
      </c>
      <c r="K509" s="101" t="str">
        <f t="shared" si="37"/>
        <v>94</v>
      </c>
      <c r="L509" s="101" t="str">
        <f t="shared" si="38"/>
        <v>04</v>
      </c>
      <c r="M509" s="101" t="str">
        <f t="shared" si="39"/>
        <v>21</v>
      </c>
    </row>
    <row r="510" spans="1:13">
      <c r="A510" t="str">
        <f t="shared" si="35"/>
        <v>岡山大学2509男</v>
      </c>
      <c r="B510" s="149" t="s">
        <v>1963</v>
      </c>
      <c r="C510" s="149">
        <v>2509</v>
      </c>
      <c r="D510" s="149" t="s">
        <v>1982</v>
      </c>
      <c r="E510" s="149" t="s">
        <v>1983</v>
      </c>
      <c r="F510" s="149" t="s">
        <v>267</v>
      </c>
      <c r="G510" s="149" t="s">
        <v>143</v>
      </c>
      <c r="H510" s="151" t="str">
        <f t="shared" si="36"/>
        <v>1994/05/02</v>
      </c>
      <c r="I510" s="149" t="s">
        <v>299</v>
      </c>
      <c r="J510" s="149" t="s">
        <v>469</v>
      </c>
      <c r="K510" s="101" t="str">
        <f t="shared" si="37"/>
        <v>94</v>
      </c>
      <c r="L510" s="101" t="str">
        <f t="shared" si="38"/>
        <v>05</v>
      </c>
      <c r="M510" s="101" t="str">
        <f t="shared" si="39"/>
        <v>02</v>
      </c>
    </row>
    <row r="511" spans="1:13">
      <c r="A511" t="str">
        <f t="shared" si="35"/>
        <v>岡山大学2510男</v>
      </c>
      <c r="B511" s="149" t="s">
        <v>1963</v>
      </c>
      <c r="C511" s="149">
        <v>2510</v>
      </c>
      <c r="D511" s="149" t="s">
        <v>1984</v>
      </c>
      <c r="E511" s="149" t="s">
        <v>1985</v>
      </c>
      <c r="F511" s="149" t="s">
        <v>267</v>
      </c>
      <c r="G511" s="149" t="s">
        <v>143</v>
      </c>
      <c r="H511" s="151" t="str">
        <f t="shared" si="36"/>
        <v>1995/08/04</v>
      </c>
      <c r="I511" s="149" t="s">
        <v>299</v>
      </c>
      <c r="J511" s="149" t="s">
        <v>895</v>
      </c>
      <c r="K511" s="101" t="str">
        <f t="shared" si="37"/>
        <v>95</v>
      </c>
      <c r="L511" s="101" t="str">
        <f t="shared" si="38"/>
        <v>08</v>
      </c>
      <c r="M511" s="101" t="str">
        <f t="shared" si="39"/>
        <v>04</v>
      </c>
    </row>
    <row r="512" spans="1:13">
      <c r="A512" t="str">
        <f t="shared" si="35"/>
        <v>大島商船高等専門学校2511男</v>
      </c>
      <c r="B512" s="149" t="s">
        <v>1986</v>
      </c>
      <c r="C512" s="149">
        <v>2511</v>
      </c>
      <c r="D512" s="149" t="s">
        <v>1987</v>
      </c>
      <c r="E512" s="149" t="s">
        <v>1988</v>
      </c>
      <c r="F512" s="149" t="s">
        <v>267</v>
      </c>
      <c r="G512" s="149" t="s">
        <v>143</v>
      </c>
      <c r="H512" s="151" t="str">
        <f t="shared" si="36"/>
        <v>1995/11/17</v>
      </c>
      <c r="I512" s="149" t="s">
        <v>269</v>
      </c>
      <c r="J512" s="149" t="s">
        <v>3808</v>
      </c>
      <c r="K512" s="101" t="str">
        <f t="shared" si="37"/>
        <v>95</v>
      </c>
      <c r="L512" s="101" t="str">
        <f t="shared" si="38"/>
        <v>11</v>
      </c>
      <c r="M512" s="101" t="str">
        <f t="shared" si="39"/>
        <v>17</v>
      </c>
    </row>
    <row r="513" spans="1:13">
      <c r="A513" t="str">
        <f t="shared" si="35"/>
        <v>大島商船高等専門学校2512男</v>
      </c>
      <c r="B513" s="149" t="s">
        <v>1986</v>
      </c>
      <c r="C513" s="149">
        <v>2512</v>
      </c>
      <c r="D513" s="149" t="s">
        <v>1989</v>
      </c>
      <c r="E513" s="149" t="s">
        <v>1990</v>
      </c>
      <c r="F513" s="149" t="s">
        <v>267</v>
      </c>
      <c r="G513" s="149" t="s">
        <v>143</v>
      </c>
      <c r="H513" s="151" t="str">
        <f t="shared" si="36"/>
        <v>1995/05/24</v>
      </c>
      <c r="I513" s="149" t="s">
        <v>269</v>
      </c>
      <c r="J513" s="149" t="s">
        <v>528</v>
      </c>
      <c r="K513" s="101" t="str">
        <f t="shared" si="37"/>
        <v>95</v>
      </c>
      <c r="L513" s="101" t="str">
        <f t="shared" si="38"/>
        <v>05</v>
      </c>
      <c r="M513" s="101" t="str">
        <f t="shared" si="39"/>
        <v>24</v>
      </c>
    </row>
    <row r="514" spans="1:13">
      <c r="A514" t="str">
        <f t="shared" ref="A514:A577" si="40">B514&amp;C514&amp;G514</f>
        <v>大島商船高等専門学校2513男</v>
      </c>
      <c r="B514" s="149" t="s">
        <v>1986</v>
      </c>
      <c r="C514" s="149">
        <v>2513</v>
      </c>
      <c r="D514" s="149" t="s">
        <v>1991</v>
      </c>
      <c r="E514" s="149" t="s">
        <v>1992</v>
      </c>
      <c r="F514" s="149" t="s">
        <v>267</v>
      </c>
      <c r="G514" s="149" t="s">
        <v>143</v>
      </c>
      <c r="H514" s="151" t="str">
        <f t="shared" si="36"/>
        <v>1995/08/27</v>
      </c>
      <c r="I514" s="149" t="s">
        <v>269</v>
      </c>
      <c r="J514" s="149" t="s">
        <v>3809</v>
      </c>
      <c r="K514" s="101" t="str">
        <f t="shared" si="37"/>
        <v>95</v>
      </c>
      <c r="L514" s="101" t="str">
        <f t="shared" si="38"/>
        <v>08</v>
      </c>
      <c r="M514" s="101" t="str">
        <f t="shared" si="39"/>
        <v>27</v>
      </c>
    </row>
    <row r="515" spans="1:13">
      <c r="A515" t="str">
        <f t="shared" si="40"/>
        <v>大島商船高等専門学校2514男</v>
      </c>
      <c r="B515" s="149" t="s">
        <v>1986</v>
      </c>
      <c r="C515" s="149">
        <v>2514</v>
      </c>
      <c r="D515" s="149" t="s">
        <v>1993</v>
      </c>
      <c r="E515" s="149" t="s">
        <v>1994</v>
      </c>
      <c r="F515" s="149" t="s">
        <v>267</v>
      </c>
      <c r="G515" s="149" t="s">
        <v>143</v>
      </c>
      <c r="H515" s="151" t="str">
        <f t="shared" ref="H515:H578" si="41">"19"&amp;K515&amp;"/"&amp;L515&amp;"/"&amp;M515</f>
        <v>1994/11/24</v>
      </c>
      <c r="I515" s="149" t="s">
        <v>269</v>
      </c>
      <c r="J515" s="149" t="s">
        <v>465</v>
      </c>
      <c r="K515" s="101" t="str">
        <f t="shared" ref="K515:K578" si="42">MID(J515,1,2)</f>
        <v>94</v>
      </c>
      <c r="L515" s="101" t="str">
        <f t="shared" ref="L515:L578" si="43">MID(J515,3,2)</f>
        <v>11</v>
      </c>
      <c r="M515" s="101" t="str">
        <f t="shared" ref="M515:M578" si="44">MID(J515,5,2)</f>
        <v>24</v>
      </c>
    </row>
    <row r="516" spans="1:13">
      <c r="A516" t="str">
        <f t="shared" si="40"/>
        <v>四国大学2515男</v>
      </c>
      <c r="B516" s="149" t="s">
        <v>1995</v>
      </c>
      <c r="C516" s="149">
        <v>2515</v>
      </c>
      <c r="D516" s="149" t="s">
        <v>1996</v>
      </c>
      <c r="E516" s="149" t="s">
        <v>1997</v>
      </c>
      <c r="F516" s="149" t="s">
        <v>267</v>
      </c>
      <c r="G516" s="149" t="s">
        <v>143</v>
      </c>
      <c r="H516" s="151" t="str">
        <f t="shared" si="41"/>
        <v>1995/12/16</v>
      </c>
      <c r="I516" s="149" t="s">
        <v>276</v>
      </c>
      <c r="J516" s="149" t="s">
        <v>526</v>
      </c>
      <c r="K516" s="101" t="str">
        <f t="shared" si="42"/>
        <v>95</v>
      </c>
      <c r="L516" s="101" t="str">
        <f t="shared" si="43"/>
        <v>12</v>
      </c>
      <c r="M516" s="101" t="str">
        <f t="shared" si="44"/>
        <v>16</v>
      </c>
    </row>
    <row r="517" spans="1:13">
      <c r="A517" t="str">
        <f t="shared" si="40"/>
        <v>呉工業高等専門学校2516男</v>
      </c>
      <c r="B517" s="149" t="s">
        <v>1998</v>
      </c>
      <c r="C517" s="149">
        <v>2516</v>
      </c>
      <c r="D517" s="149" t="s">
        <v>1999</v>
      </c>
      <c r="E517" s="149" t="s">
        <v>2000</v>
      </c>
      <c r="F517" s="149" t="s">
        <v>293</v>
      </c>
      <c r="G517" s="149" t="s">
        <v>143</v>
      </c>
      <c r="H517" s="151" t="str">
        <f t="shared" si="41"/>
        <v>1996/01/29</v>
      </c>
      <c r="I517" s="149" t="s">
        <v>295</v>
      </c>
      <c r="J517" s="149" t="s">
        <v>3810</v>
      </c>
      <c r="K517" s="101" t="str">
        <f t="shared" si="42"/>
        <v>96</v>
      </c>
      <c r="L517" s="101" t="str">
        <f t="shared" si="43"/>
        <v>01</v>
      </c>
      <c r="M517" s="101" t="str">
        <f t="shared" si="44"/>
        <v>29</v>
      </c>
    </row>
    <row r="518" spans="1:13">
      <c r="A518" t="str">
        <f t="shared" si="40"/>
        <v>呉工業高等専門学校2517男</v>
      </c>
      <c r="B518" s="149" t="s">
        <v>1998</v>
      </c>
      <c r="C518" s="149">
        <v>2517</v>
      </c>
      <c r="D518" s="149" t="s">
        <v>2001</v>
      </c>
      <c r="E518" s="149" t="s">
        <v>2002</v>
      </c>
      <c r="F518" s="149" t="s">
        <v>293</v>
      </c>
      <c r="G518" s="149" t="s">
        <v>143</v>
      </c>
      <c r="H518" s="151" t="str">
        <f t="shared" si="41"/>
        <v>1995/09/15</v>
      </c>
      <c r="I518" s="149" t="s">
        <v>295</v>
      </c>
      <c r="J518" s="149" t="s">
        <v>450</v>
      </c>
      <c r="K518" s="101" t="str">
        <f t="shared" si="42"/>
        <v>95</v>
      </c>
      <c r="L518" s="101" t="str">
        <f t="shared" si="43"/>
        <v>09</v>
      </c>
      <c r="M518" s="101" t="str">
        <f t="shared" si="44"/>
        <v>15</v>
      </c>
    </row>
    <row r="519" spans="1:13">
      <c r="A519" t="str">
        <f t="shared" si="40"/>
        <v>呉工業高等専門学校2518男</v>
      </c>
      <c r="B519" s="149" t="s">
        <v>1998</v>
      </c>
      <c r="C519" s="149">
        <v>2518</v>
      </c>
      <c r="D519" s="149" t="s">
        <v>2003</v>
      </c>
      <c r="E519" s="149" t="s">
        <v>2004</v>
      </c>
      <c r="F519" s="149" t="s">
        <v>260</v>
      </c>
      <c r="G519" s="149" t="s">
        <v>143</v>
      </c>
      <c r="H519" s="151" t="str">
        <f t="shared" si="41"/>
        <v>1996/08/24</v>
      </c>
      <c r="I519" s="149" t="s">
        <v>295</v>
      </c>
      <c r="J519" s="149" t="s">
        <v>3811</v>
      </c>
      <c r="K519" s="101" t="str">
        <f t="shared" si="42"/>
        <v>96</v>
      </c>
      <c r="L519" s="101" t="str">
        <f t="shared" si="43"/>
        <v>08</v>
      </c>
      <c r="M519" s="101" t="str">
        <f t="shared" si="44"/>
        <v>24</v>
      </c>
    </row>
    <row r="520" spans="1:13">
      <c r="A520" t="str">
        <f t="shared" si="40"/>
        <v>呉工業高等専門学校2519男</v>
      </c>
      <c r="B520" s="149" t="s">
        <v>1998</v>
      </c>
      <c r="C520" s="149">
        <v>2519</v>
      </c>
      <c r="D520" s="149" t="s">
        <v>2005</v>
      </c>
      <c r="E520" s="149" t="s">
        <v>2006</v>
      </c>
      <c r="F520" s="149" t="s">
        <v>260</v>
      </c>
      <c r="G520" s="149" t="s">
        <v>143</v>
      </c>
      <c r="H520" s="151" t="str">
        <f t="shared" si="41"/>
        <v>1996/09/23</v>
      </c>
      <c r="I520" s="149" t="s">
        <v>295</v>
      </c>
      <c r="J520" s="149" t="s">
        <v>916</v>
      </c>
      <c r="K520" s="101" t="str">
        <f t="shared" si="42"/>
        <v>96</v>
      </c>
      <c r="L520" s="101" t="str">
        <f t="shared" si="43"/>
        <v>09</v>
      </c>
      <c r="M520" s="101" t="str">
        <f t="shared" si="44"/>
        <v>23</v>
      </c>
    </row>
    <row r="521" spans="1:13">
      <c r="A521" t="str">
        <f t="shared" si="40"/>
        <v>呉工業高等専門学校2520男</v>
      </c>
      <c r="B521" s="149" t="s">
        <v>1998</v>
      </c>
      <c r="C521" s="149">
        <v>2520</v>
      </c>
      <c r="D521" s="149" t="s">
        <v>2007</v>
      </c>
      <c r="E521" s="149" t="s">
        <v>2008</v>
      </c>
      <c r="F521" s="149" t="s">
        <v>260</v>
      </c>
      <c r="G521" s="149" t="s">
        <v>143</v>
      </c>
      <c r="H521" s="151" t="str">
        <f t="shared" si="41"/>
        <v>1996/05/05</v>
      </c>
      <c r="I521" s="149" t="s">
        <v>295</v>
      </c>
      <c r="J521" s="149" t="s">
        <v>3812</v>
      </c>
      <c r="K521" s="101" t="str">
        <f t="shared" si="42"/>
        <v>96</v>
      </c>
      <c r="L521" s="101" t="str">
        <f t="shared" si="43"/>
        <v>05</v>
      </c>
      <c r="M521" s="101" t="str">
        <f t="shared" si="44"/>
        <v>05</v>
      </c>
    </row>
    <row r="522" spans="1:13">
      <c r="A522" t="str">
        <f t="shared" si="40"/>
        <v>呉工業高等専門学校2521男</v>
      </c>
      <c r="B522" s="149" t="s">
        <v>1998</v>
      </c>
      <c r="C522" s="149">
        <v>2521</v>
      </c>
      <c r="D522" s="149" t="s">
        <v>2009</v>
      </c>
      <c r="E522" s="149" t="s">
        <v>2010</v>
      </c>
      <c r="F522" s="149" t="s">
        <v>260</v>
      </c>
      <c r="G522" s="149" t="s">
        <v>143</v>
      </c>
      <c r="H522" s="151" t="str">
        <f t="shared" si="41"/>
        <v>1996/05/10</v>
      </c>
      <c r="I522" s="149" t="s">
        <v>295</v>
      </c>
      <c r="J522" s="149" t="s">
        <v>644</v>
      </c>
      <c r="K522" s="101" t="str">
        <f t="shared" si="42"/>
        <v>96</v>
      </c>
      <c r="L522" s="101" t="str">
        <f t="shared" si="43"/>
        <v>05</v>
      </c>
      <c r="M522" s="101" t="str">
        <f t="shared" si="44"/>
        <v>10</v>
      </c>
    </row>
    <row r="523" spans="1:13">
      <c r="A523" t="str">
        <f t="shared" si="40"/>
        <v>呉工業高等専門学校2522男</v>
      </c>
      <c r="B523" s="149" t="s">
        <v>1998</v>
      </c>
      <c r="C523" s="149">
        <v>2522</v>
      </c>
      <c r="D523" s="149" t="s">
        <v>2011</v>
      </c>
      <c r="E523" s="149" t="s">
        <v>2012</v>
      </c>
      <c r="F523" s="149" t="s">
        <v>260</v>
      </c>
      <c r="G523" s="149" t="s">
        <v>143</v>
      </c>
      <c r="H523" s="151" t="str">
        <f t="shared" si="41"/>
        <v>1996/04/10</v>
      </c>
      <c r="I523" s="149" t="s">
        <v>295</v>
      </c>
      <c r="J523" s="149" t="s">
        <v>3813</v>
      </c>
      <c r="K523" s="101" t="str">
        <f t="shared" si="42"/>
        <v>96</v>
      </c>
      <c r="L523" s="101" t="str">
        <f t="shared" si="43"/>
        <v>04</v>
      </c>
      <c r="M523" s="101" t="str">
        <f t="shared" si="44"/>
        <v>10</v>
      </c>
    </row>
    <row r="524" spans="1:13">
      <c r="A524" t="str">
        <f t="shared" si="40"/>
        <v>呉工業高等専門学校2523男</v>
      </c>
      <c r="B524" s="149" t="s">
        <v>1998</v>
      </c>
      <c r="C524" s="149">
        <v>2523</v>
      </c>
      <c r="D524" s="149" t="s">
        <v>2013</v>
      </c>
      <c r="E524" s="149" t="s">
        <v>2014</v>
      </c>
      <c r="F524" s="149" t="s">
        <v>293</v>
      </c>
      <c r="G524" s="149" t="s">
        <v>143</v>
      </c>
      <c r="H524" s="151" t="str">
        <f t="shared" si="41"/>
        <v>1995/11/20</v>
      </c>
      <c r="I524" s="149" t="s">
        <v>295</v>
      </c>
      <c r="J524" s="149" t="s">
        <v>391</v>
      </c>
      <c r="K524" s="101" t="str">
        <f t="shared" si="42"/>
        <v>95</v>
      </c>
      <c r="L524" s="101" t="str">
        <f t="shared" si="43"/>
        <v>11</v>
      </c>
      <c r="M524" s="101" t="str">
        <f t="shared" si="44"/>
        <v>20</v>
      </c>
    </row>
    <row r="525" spans="1:13">
      <c r="A525" t="str">
        <f t="shared" si="40"/>
        <v>呉工業高等専門学校2524男</v>
      </c>
      <c r="B525" s="149" t="s">
        <v>1998</v>
      </c>
      <c r="C525" s="149">
        <v>2524</v>
      </c>
      <c r="D525" s="149" t="s">
        <v>2015</v>
      </c>
      <c r="E525" s="149" t="s">
        <v>2016</v>
      </c>
      <c r="F525" s="149" t="s">
        <v>293</v>
      </c>
      <c r="G525" s="149" t="s">
        <v>143</v>
      </c>
      <c r="H525" s="151" t="str">
        <f t="shared" si="41"/>
        <v>1994/04/29</v>
      </c>
      <c r="I525" s="149" t="s">
        <v>295</v>
      </c>
      <c r="J525" s="149" t="s">
        <v>483</v>
      </c>
      <c r="K525" s="101" t="str">
        <f t="shared" si="42"/>
        <v>94</v>
      </c>
      <c r="L525" s="101" t="str">
        <f t="shared" si="43"/>
        <v>04</v>
      </c>
      <c r="M525" s="101" t="str">
        <f t="shared" si="44"/>
        <v>29</v>
      </c>
    </row>
    <row r="526" spans="1:13">
      <c r="A526" t="str">
        <f t="shared" si="40"/>
        <v>吉備国際大学2525男</v>
      </c>
      <c r="B526" s="149" t="s">
        <v>2017</v>
      </c>
      <c r="C526" s="149">
        <v>2525</v>
      </c>
      <c r="D526" s="149" t="s">
        <v>2018</v>
      </c>
      <c r="E526" s="149" t="s">
        <v>2019</v>
      </c>
      <c r="F526" s="149" t="s">
        <v>265</v>
      </c>
      <c r="G526" s="149" t="s">
        <v>143</v>
      </c>
      <c r="H526" s="151" t="str">
        <f t="shared" si="41"/>
        <v>1993/04/06</v>
      </c>
      <c r="I526" s="149" t="s">
        <v>299</v>
      </c>
      <c r="J526" s="149" t="s">
        <v>3685</v>
      </c>
      <c r="K526" s="101" t="str">
        <f t="shared" si="42"/>
        <v>93</v>
      </c>
      <c r="L526" s="101" t="str">
        <f t="shared" si="43"/>
        <v>04</v>
      </c>
      <c r="M526" s="101" t="str">
        <f t="shared" si="44"/>
        <v>06</v>
      </c>
    </row>
    <row r="527" spans="1:13">
      <c r="A527" t="str">
        <f t="shared" si="40"/>
        <v>吉備国際大学2526男</v>
      </c>
      <c r="B527" s="149" t="s">
        <v>2017</v>
      </c>
      <c r="C527" s="149">
        <v>2526</v>
      </c>
      <c r="D527" s="149" t="s">
        <v>2020</v>
      </c>
      <c r="E527" s="149" t="s">
        <v>2021</v>
      </c>
      <c r="F527" s="149" t="s">
        <v>267</v>
      </c>
      <c r="G527" s="149" t="s">
        <v>143</v>
      </c>
      <c r="H527" s="151" t="str">
        <f t="shared" si="41"/>
        <v>1995/06/17</v>
      </c>
      <c r="I527" s="149" t="s">
        <v>299</v>
      </c>
      <c r="J527" s="149" t="s">
        <v>685</v>
      </c>
      <c r="K527" s="101" t="str">
        <f t="shared" si="42"/>
        <v>95</v>
      </c>
      <c r="L527" s="101" t="str">
        <f t="shared" si="43"/>
        <v>06</v>
      </c>
      <c r="M527" s="101" t="str">
        <f t="shared" si="44"/>
        <v>17</v>
      </c>
    </row>
    <row r="528" spans="1:13">
      <c r="A528" t="str">
        <f t="shared" si="40"/>
        <v>吉備国際大学2527男</v>
      </c>
      <c r="B528" s="149" t="s">
        <v>2017</v>
      </c>
      <c r="C528" s="149">
        <v>2527</v>
      </c>
      <c r="D528" s="149" t="s">
        <v>2022</v>
      </c>
      <c r="E528" s="149" t="s">
        <v>2023</v>
      </c>
      <c r="F528" s="149" t="s">
        <v>267</v>
      </c>
      <c r="G528" s="149" t="s">
        <v>143</v>
      </c>
      <c r="H528" s="151" t="str">
        <f t="shared" si="41"/>
        <v>1995/12/24</v>
      </c>
      <c r="I528" s="149" t="s">
        <v>277</v>
      </c>
      <c r="J528" s="149" t="s">
        <v>3814</v>
      </c>
      <c r="K528" s="101" t="str">
        <f t="shared" si="42"/>
        <v>95</v>
      </c>
      <c r="L528" s="101" t="str">
        <f t="shared" si="43"/>
        <v>12</v>
      </c>
      <c r="M528" s="101" t="str">
        <f t="shared" si="44"/>
        <v>24</v>
      </c>
    </row>
    <row r="529" spans="1:13">
      <c r="A529" t="str">
        <f t="shared" si="40"/>
        <v>吉備国際大学2528男</v>
      </c>
      <c r="B529" s="149" t="s">
        <v>2017</v>
      </c>
      <c r="C529" s="149">
        <v>2528</v>
      </c>
      <c r="D529" s="149" t="s">
        <v>2024</v>
      </c>
      <c r="E529" s="149" t="s">
        <v>2025</v>
      </c>
      <c r="F529" s="149" t="s">
        <v>267</v>
      </c>
      <c r="G529" s="149" t="s">
        <v>143</v>
      </c>
      <c r="H529" s="151" t="str">
        <f t="shared" si="41"/>
        <v>1995/09/20</v>
      </c>
      <c r="I529" s="149" t="s">
        <v>295</v>
      </c>
      <c r="J529" s="149" t="s">
        <v>3815</v>
      </c>
      <c r="K529" s="101" t="str">
        <f t="shared" si="42"/>
        <v>95</v>
      </c>
      <c r="L529" s="101" t="str">
        <f t="shared" si="43"/>
        <v>09</v>
      </c>
      <c r="M529" s="101" t="str">
        <f t="shared" si="44"/>
        <v>20</v>
      </c>
    </row>
    <row r="530" spans="1:13">
      <c r="A530" t="str">
        <f t="shared" si="40"/>
        <v>吉備国際大学2529男</v>
      </c>
      <c r="B530" s="149" t="s">
        <v>2017</v>
      </c>
      <c r="C530" s="149">
        <v>2529</v>
      </c>
      <c r="D530" s="149" t="s">
        <v>2026</v>
      </c>
      <c r="E530" s="149" t="s">
        <v>2027</v>
      </c>
      <c r="F530" s="149" t="s">
        <v>267</v>
      </c>
      <c r="G530" s="149" t="s">
        <v>143</v>
      </c>
      <c r="H530" s="151" t="str">
        <f t="shared" si="41"/>
        <v>1995/05/20</v>
      </c>
      <c r="I530" s="149" t="s">
        <v>299</v>
      </c>
      <c r="J530" s="149" t="s">
        <v>489</v>
      </c>
      <c r="K530" s="101" t="str">
        <f t="shared" si="42"/>
        <v>95</v>
      </c>
      <c r="L530" s="101" t="str">
        <f t="shared" si="43"/>
        <v>05</v>
      </c>
      <c r="M530" s="101" t="str">
        <f t="shared" si="44"/>
        <v>20</v>
      </c>
    </row>
    <row r="531" spans="1:13">
      <c r="A531" t="str">
        <f t="shared" si="40"/>
        <v>倉敷芸術科学大学2530男</v>
      </c>
      <c r="B531" s="149" t="s">
        <v>1119</v>
      </c>
      <c r="C531" s="149">
        <v>2530</v>
      </c>
      <c r="D531" s="149" t="s">
        <v>2028</v>
      </c>
      <c r="E531" s="149" t="s">
        <v>2029</v>
      </c>
      <c r="F531" s="149" t="s">
        <v>265</v>
      </c>
      <c r="G531" s="149" t="s">
        <v>143</v>
      </c>
      <c r="H531" s="151" t="str">
        <f t="shared" si="41"/>
        <v>1994/08/06</v>
      </c>
      <c r="I531" s="149" t="s">
        <v>299</v>
      </c>
      <c r="J531" s="149" t="s">
        <v>443</v>
      </c>
      <c r="K531" s="101" t="str">
        <f t="shared" si="42"/>
        <v>94</v>
      </c>
      <c r="L531" s="101" t="str">
        <f t="shared" si="43"/>
        <v>08</v>
      </c>
      <c r="M531" s="101" t="str">
        <f t="shared" si="44"/>
        <v>06</v>
      </c>
    </row>
    <row r="532" spans="1:13">
      <c r="A532" t="str">
        <f t="shared" si="40"/>
        <v>福山平成大学2531男</v>
      </c>
      <c r="B532" s="149" t="s">
        <v>2030</v>
      </c>
      <c r="C532" s="149">
        <v>2531</v>
      </c>
      <c r="D532" s="149" t="s">
        <v>2031</v>
      </c>
      <c r="E532" s="149" t="s">
        <v>2032</v>
      </c>
      <c r="F532" s="149" t="s">
        <v>267</v>
      </c>
      <c r="G532" s="149" t="s">
        <v>143</v>
      </c>
      <c r="H532" s="151" t="str">
        <f t="shared" si="41"/>
        <v>1996/03/18</v>
      </c>
      <c r="I532" s="149" t="s">
        <v>295</v>
      </c>
      <c r="J532" s="149" t="s">
        <v>3816</v>
      </c>
      <c r="K532" s="101" t="str">
        <f t="shared" si="42"/>
        <v>96</v>
      </c>
      <c r="L532" s="101" t="str">
        <f t="shared" si="43"/>
        <v>03</v>
      </c>
      <c r="M532" s="101" t="str">
        <f t="shared" si="44"/>
        <v>18</v>
      </c>
    </row>
    <row r="533" spans="1:13">
      <c r="A533" t="str">
        <f t="shared" si="40"/>
        <v>広島修道大学2532男</v>
      </c>
      <c r="B533" s="149" t="s">
        <v>2033</v>
      </c>
      <c r="C533" s="149">
        <v>2532</v>
      </c>
      <c r="D533" s="149" t="s">
        <v>2034</v>
      </c>
      <c r="E533" s="149" t="s">
        <v>2035</v>
      </c>
      <c r="F533" s="149" t="s">
        <v>260</v>
      </c>
      <c r="G533" s="149" t="s">
        <v>143</v>
      </c>
      <c r="H533" s="151" t="str">
        <f t="shared" si="41"/>
        <v>1993/10/28</v>
      </c>
      <c r="I533" s="149" t="s">
        <v>295</v>
      </c>
      <c r="J533" s="149" t="s">
        <v>846</v>
      </c>
      <c r="K533" s="101" t="str">
        <f t="shared" si="42"/>
        <v>93</v>
      </c>
      <c r="L533" s="101" t="str">
        <f t="shared" si="43"/>
        <v>10</v>
      </c>
      <c r="M533" s="101" t="str">
        <f t="shared" si="44"/>
        <v>28</v>
      </c>
    </row>
    <row r="534" spans="1:13">
      <c r="A534" t="str">
        <f t="shared" si="40"/>
        <v>広島修道大学2533男</v>
      </c>
      <c r="B534" s="149" t="s">
        <v>2033</v>
      </c>
      <c r="C534" s="149">
        <v>2533</v>
      </c>
      <c r="D534" s="149" t="s">
        <v>2036</v>
      </c>
      <c r="E534" s="149" t="s">
        <v>2037</v>
      </c>
      <c r="F534" s="149" t="s">
        <v>260</v>
      </c>
      <c r="G534" s="149" t="s">
        <v>143</v>
      </c>
      <c r="H534" s="151" t="str">
        <f t="shared" si="41"/>
        <v>1993/06/17</v>
      </c>
      <c r="I534" s="149" t="s">
        <v>269</v>
      </c>
      <c r="J534" s="149" t="s">
        <v>3817</v>
      </c>
      <c r="K534" s="101" t="str">
        <f t="shared" si="42"/>
        <v>93</v>
      </c>
      <c r="L534" s="101" t="str">
        <f t="shared" si="43"/>
        <v>06</v>
      </c>
      <c r="M534" s="101" t="str">
        <f t="shared" si="44"/>
        <v>17</v>
      </c>
    </row>
    <row r="535" spans="1:13">
      <c r="A535" t="str">
        <f t="shared" si="40"/>
        <v>広島修道大学2534男</v>
      </c>
      <c r="B535" s="149" t="s">
        <v>2033</v>
      </c>
      <c r="C535" s="149">
        <v>2534</v>
      </c>
      <c r="D535" s="149" t="s">
        <v>2038</v>
      </c>
      <c r="E535" s="149" t="s">
        <v>2039</v>
      </c>
      <c r="F535" s="149" t="s">
        <v>260</v>
      </c>
      <c r="G535" s="149" t="s">
        <v>143</v>
      </c>
      <c r="H535" s="151" t="str">
        <f t="shared" si="41"/>
        <v>1993/06/04</v>
      </c>
      <c r="I535" s="149" t="s">
        <v>295</v>
      </c>
      <c r="J535" s="149" t="s">
        <v>847</v>
      </c>
      <c r="K535" s="101" t="str">
        <f t="shared" si="42"/>
        <v>93</v>
      </c>
      <c r="L535" s="101" t="str">
        <f t="shared" si="43"/>
        <v>06</v>
      </c>
      <c r="M535" s="101" t="str">
        <f t="shared" si="44"/>
        <v>04</v>
      </c>
    </row>
    <row r="536" spans="1:13">
      <c r="A536" t="str">
        <f t="shared" si="40"/>
        <v>広島修道大学2535男</v>
      </c>
      <c r="B536" s="149" t="s">
        <v>2033</v>
      </c>
      <c r="C536" s="149">
        <v>2535</v>
      </c>
      <c r="D536" s="149" t="s">
        <v>2040</v>
      </c>
      <c r="E536" s="149" t="s">
        <v>2041</v>
      </c>
      <c r="F536" s="149" t="s">
        <v>260</v>
      </c>
      <c r="G536" s="149" t="s">
        <v>143</v>
      </c>
      <c r="H536" s="151" t="str">
        <f t="shared" si="41"/>
        <v>1993/08/17</v>
      </c>
      <c r="I536" s="149" t="s">
        <v>299</v>
      </c>
      <c r="J536" s="149" t="s">
        <v>3818</v>
      </c>
      <c r="K536" s="101" t="str">
        <f t="shared" si="42"/>
        <v>93</v>
      </c>
      <c r="L536" s="101" t="str">
        <f t="shared" si="43"/>
        <v>08</v>
      </c>
      <c r="M536" s="101" t="str">
        <f t="shared" si="44"/>
        <v>17</v>
      </c>
    </row>
    <row r="537" spans="1:13">
      <c r="A537" t="str">
        <f t="shared" si="40"/>
        <v>広島修道大学2536男</v>
      </c>
      <c r="B537" s="149" t="s">
        <v>2033</v>
      </c>
      <c r="C537" s="149">
        <v>2536</v>
      </c>
      <c r="D537" s="149" t="s">
        <v>2042</v>
      </c>
      <c r="E537" s="149" t="s">
        <v>2043</v>
      </c>
      <c r="F537" s="149" t="s">
        <v>260</v>
      </c>
      <c r="G537" s="149" t="s">
        <v>143</v>
      </c>
      <c r="H537" s="151" t="str">
        <f t="shared" si="41"/>
        <v>1993/06/13</v>
      </c>
      <c r="I537" s="149" t="s">
        <v>281</v>
      </c>
      <c r="J537" s="149" t="s">
        <v>566</v>
      </c>
      <c r="K537" s="101" t="str">
        <f t="shared" si="42"/>
        <v>93</v>
      </c>
      <c r="L537" s="101" t="str">
        <f t="shared" si="43"/>
        <v>06</v>
      </c>
      <c r="M537" s="101" t="str">
        <f t="shared" si="44"/>
        <v>13</v>
      </c>
    </row>
    <row r="538" spans="1:13">
      <c r="A538" t="str">
        <f t="shared" si="40"/>
        <v>広島修道大学2537男</v>
      </c>
      <c r="B538" s="149" t="s">
        <v>2033</v>
      </c>
      <c r="C538" s="149">
        <v>2537</v>
      </c>
      <c r="D538" s="149" t="s">
        <v>2044</v>
      </c>
      <c r="E538" s="149" t="s">
        <v>2045</v>
      </c>
      <c r="F538" s="149" t="s">
        <v>260</v>
      </c>
      <c r="G538" s="149" t="s">
        <v>143</v>
      </c>
      <c r="H538" s="151" t="str">
        <f t="shared" si="41"/>
        <v>1993/05/24</v>
      </c>
      <c r="I538" s="149" t="s">
        <v>295</v>
      </c>
      <c r="J538" s="149" t="s">
        <v>3819</v>
      </c>
      <c r="K538" s="101" t="str">
        <f t="shared" si="42"/>
        <v>93</v>
      </c>
      <c r="L538" s="101" t="str">
        <f t="shared" si="43"/>
        <v>05</v>
      </c>
      <c r="M538" s="101" t="str">
        <f t="shared" si="44"/>
        <v>24</v>
      </c>
    </row>
    <row r="539" spans="1:13">
      <c r="A539" t="str">
        <f t="shared" si="40"/>
        <v>広島修道大学2538男</v>
      </c>
      <c r="B539" s="149" t="s">
        <v>2033</v>
      </c>
      <c r="C539" s="149">
        <v>2538</v>
      </c>
      <c r="D539" s="149" t="s">
        <v>2046</v>
      </c>
      <c r="E539" s="149" t="s">
        <v>2047</v>
      </c>
      <c r="F539" s="149" t="s">
        <v>265</v>
      </c>
      <c r="G539" s="149" t="s">
        <v>143</v>
      </c>
      <c r="H539" s="151" t="str">
        <f t="shared" si="41"/>
        <v>1994/06/11</v>
      </c>
      <c r="I539" s="149" t="s">
        <v>295</v>
      </c>
      <c r="J539" s="149" t="s">
        <v>3820</v>
      </c>
      <c r="K539" s="101" t="str">
        <f t="shared" si="42"/>
        <v>94</v>
      </c>
      <c r="L539" s="101" t="str">
        <f t="shared" si="43"/>
        <v>06</v>
      </c>
      <c r="M539" s="101" t="str">
        <f t="shared" si="44"/>
        <v>11</v>
      </c>
    </row>
    <row r="540" spans="1:13">
      <c r="A540" t="str">
        <f t="shared" si="40"/>
        <v>広島修道大学2539男</v>
      </c>
      <c r="B540" s="149" t="s">
        <v>2033</v>
      </c>
      <c r="C540" s="149">
        <v>2539</v>
      </c>
      <c r="D540" s="149" t="s">
        <v>2048</v>
      </c>
      <c r="E540" s="149" t="s">
        <v>2049</v>
      </c>
      <c r="F540" s="149" t="s">
        <v>265</v>
      </c>
      <c r="G540" s="149" t="s">
        <v>143</v>
      </c>
      <c r="H540" s="151" t="str">
        <f t="shared" si="41"/>
        <v>1994/05/11</v>
      </c>
      <c r="I540" s="149" t="s">
        <v>295</v>
      </c>
      <c r="J540" s="149" t="s">
        <v>523</v>
      </c>
      <c r="K540" s="101" t="str">
        <f t="shared" si="42"/>
        <v>94</v>
      </c>
      <c r="L540" s="101" t="str">
        <f t="shared" si="43"/>
        <v>05</v>
      </c>
      <c r="M540" s="101" t="str">
        <f t="shared" si="44"/>
        <v>11</v>
      </c>
    </row>
    <row r="541" spans="1:13">
      <c r="A541" t="str">
        <f t="shared" si="40"/>
        <v>広島修道大学2540男</v>
      </c>
      <c r="B541" s="149" t="s">
        <v>2033</v>
      </c>
      <c r="C541" s="149">
        <v>2540</v>
      </c>
      <c r="D541" s="149" t="s">
        <v>2050</v>
      </c>
      <c r="E541" s="149" t="s">
        <v>2051</v>
      </c>
      <c r="F541" s="149" t="s">
        <v>265</v>
      </c>
      <c r="G541" s="149" t="s">
        <v>143</v>
      </c>
      <c r="H541" s="151" t="str">
        <f t="shared" si="41"/>
        <v>1994/04/20</v>
      </c>
      <c r="I541" s="149" t="s">
        <v>295</v>
      </c>
      <c r="J541" s="149" t="s">
        <v>580</v>
      </c>
      <c r="K541" s="101" t="str">
        <f t="shared" si="42"/>
        <v>94</v>
      </c>
      <c r="L541" s="101" t="str">
        <f t="shared" si="43"/>
        <v>04</v>
      </c>
      <c r="M541" s="101" t="str">
        <f t="shared" si="44"/>
        <v>20</v>
      </c>
    </row>
    <row r="542" spans="1:13">
      <c r="A542" t="str">
        <f t="shared" si="40"/>
        <v>広島修道大学2541男</v>
      </c>
      <c r="B542" s="149" t="s">
        <v>2033</v>
      </c>
      <c r="C542" s="149">
        <v>2541</v>
      </c>
      <c r="D542" s="149" t="s">
        <v>2052</v>
      </c>
      <c r="E542" s="149" t="s">
        <v>2053</v>
      </c>
      <c r="F542" s="149" t="s">
        <v>265</v>
      </c>
      <c r="G542" s="149" t="s">
        <v>143</v>
      </c>
      <c r="H542" s="151" t="str">
        <f t="shared" si="41"/>
        <v>1994/06/14</v>
      </c>
      <c r="I542" s="149" t="s">
        <v>295</v>
      </c>
      <c r="J542" s="149" t="s">
        <v>3708</v>
      </c>
      <c r="K542" s="101" t="str">
        <f t="shared" si="42"/>
        <v>94</v>
      </c>
      <c r="L542" s="101" t="str">
        <f t="shared" si="43"/>
        <v>06</v>
      </c>
      <c r="M542" s="101" t="str">
        <f t="shared" si="44"/>
        <v>14</v>
      </c>
    </row>
    <row r="543" spans="1:13">
      <c r="A543" t="str">
        <f t="shared" si="40"/>
        <v>広島修道大学2542男</v>
      </c>
      <c r="B543" s="149" t="s">
        <v>2033</v>
      </c>
      <c r="C543" s="149">
        <v>2542</v>
      </c>
      <c r="D543" s="149" t="s">
        <v>2054</v>
      </c>
      <c r="E543" s="149" t="s">
        <v>2055</v>
      </c>
      <c r="F543" s="149" t="s">
        <v>265</v>
      </c>
      <c r="G543" s="149" t="s">
        <v>143</v>
      </c>
      <c r="H543" s="151" t="str">
        <f t="shared" si="41"/>
        <v>1995/01/27</v>
      </c>
      <c r="I543" s="149" t="s">
        <v>295</v>
      </c>
      <c r="J543" s="149" t="s">
        <v>3821</v>
      </c>
      <c r="K543" s="101" t="str">
        <f t="shared" si="42"/>
        <v>95</v>
      </c>
      <c r="L543" s="101" t="str">
        <f t="shared" si="43"/>
        <v>01</v>
      </c>
      <c r="M543" s="101" t="str">
        <f t="shared" si="44"/>
        <v>27</v>
      </c>
    </row>
    <row r="544" spans="1:13">
      <c r="A544" t="str">
        <f t="shared" si="40"/>
        <v>広島修道大学2543男</v>
      </c>
      <c r="B544" s="149" t="s">
        <v>2033</v>
      </c>
      <c r="C544" s="149">
        <v>2543</v>
      </c>
      <c r="D544" s="149" t="s">
        <v>2056</v>
      </c>
      <c r="E544" s="149" t="s">
        <v>2057</v>
      </c>
      <c r="F544" s="149" t="s">
        <v>265</v>
      </c>
      <c r="G544" s="149" t="s">
        <v>143</v>
      </c>
      <c r="H544" s="151" t="str">
        <f t="shared" si="41"/>
        <v>1994/12/20</v>
      </c>
      <c r="I544" s="149" t="s">
        <v>295</v>
      </c>
      <c r="J544" s="149" t="s">
        <v>769</v>
      </c>
      <c r="K544" s="101" t="str">
        <f t="shared" si="42"/>
        <v>94</v>
      </c>
      <c r="L544" s="101" t="str">
        <f t="shared" si="43"/>
        <v>12</v>
      </c>
      <c r="M544" s="101" t="str">
        <f t="shared" si="44"/>
        <v>20</v>
      </c>
    </row>
    <row r="545" spans="1:13">
      <c r="A545" t="str">
        <f t="shared" si="40"/>
        <v>広島修道大学2544男</v>
      </c>
      <c r="B545" s="149" t="s">
        <v>2033</v>
      </c>
      <c r="C545" s="149">
        <v>2544</v>
      </c>
      <c r="D545" s="149" t="s">
        <v>2058</v>
      </c>
      <c r="E545" s="149" t="s">
        <v>2059</v>
      </c>
      <c r="F545" s="149" t="s">
        <v>265</v>
      </c>
      <c r="G545" s="149" t="s">
        <v>143</v>
      </c>
      <c r="H545" s="151" t="str">
        <f t="shared" si="41"/>
        <v>1994/07/04</v>
      </c>
      <c r="I545" s="149" t="s">
        <v>295</v>
      </c>
      <c r="J545" s="149" t="s">
        <v>3822</v>
      </c>
      <c r="K545" s="101" t="str">
        <f t="shared" si="42"/>
        <v>94</v>
      </c>
      <c r="L545" s="101" t="str">
        <f t="shared" si="43"/>
        <v>07</v>
      </c>
      <c r="M545" s="101" t="str">
        <f t="shared" si="44"/>
        <v>04</v>
      </c>
    </row>
    <row r="546" spans="1:13">
      <c r="A546" t="str">
        <f t="shared" si="40"/>
        <v>広島修道大学2545男</v>
      </c>
      <c r="B546" s="149" t="s">
        <v>2033</v>
      </c>
      <c r="C546" s="149">
        <v>2545</v>
      </c>
      <c r="D546" s="149" t="s">
        <v>2060</v>
      </c>
      <c r="E546" s="149" t="s">
        <v>2061</v>
      </c>
      <c r="F546" s="149" t="s">
        <v>265</v>
      </c>
      <c r="G546" s="149" t="s">
        <v>143</v>
      </c>
      <c r="H546" s="151" t="str">
        <f t="shared" si="41"/>
        <v>1994/06/27</v>
      </c>
      <c r="I546" s="149" t="s">
        <v>295</v>
      </c>
      <c r="J546" s="149" t="s">
        <v>346</v>
      </c>
      <c r="K546" s="101" t="str">
        <f t="shared" si="42"/>
        <v>94</v>
      </c>
      <c r="L546" s="101" t="str">
        <f t="shared" si="43"/>
        <v>06</v>
      </c>
      <c r="M546" s="101" t="str">
        <f t="shared" si="44"/>
        <v>27</v>
      </c>
    </row>
    <row r="547" spans="1:13">
      <c r="A547" t="str">
        <f t="shared" si="40"/>
        <v>広島修道大学2546男</v>
      </c>
      <c r="B547" s="149" t="s">
        <v>2033</v>
      </c>
      <c r="C547" s="149">
        <v>2546</v>
      </c>
      <c r="D547" s="149" t="s">
        <v>2062</v>
      </c>
      <c r="E547" s="149" t="s">
        <v>2063</v>
      </c>
      <c r="F547" s="149" t="s">
        <v>265</v>
      </c>
      <c r="G547" s="149" t="s">
        <v>143</v>
      </c>
      <c r="H547" s="151" t="str">
        <f t="shared" si="41"/>
        <v>1995/01/08</v>
      </c>
      <c r="I547" s="149" t="s">
        <v>299</v>
      </c>
      <c r="J547" s="149" t="s">
        <v>878</v>
      </c>
      <c r="K547" s="101" t="str">
        <f t="shared" si="42"/>
        <v>95</v>
      </c>
      <c r="L547" s="101" t="str">
        <f t="shared" si="43"/>
        <v>01</v>
      </c>
      <c r="M547" s="101" t="str">
        <f t="shared" si="44"/>
        <v>08</v>
      </c>
    </row>
    <row r="548" spans="1:13">
      <c r="A548" t="str">
        <f t="shared" si="40"/>
        <v>広島修道大学2547男</v>
      </c>
      <c r="B548" s="149" t="s">
        <v>2033</v>
      </c>
      <c r="C548" s="149">
        <v>2547</v>
      </c>
      <c r="D548" s="149" t="s">
        <v>2064</v>
      </c>
      <c r="E548" s="149" t="s">
        <v>2065</v>
      </c>
      <c r="F548" s="149" t="s">
        <v>265</v>
      </c>
      <c r="G548" s="149" t="s">
        <v>143</v>
      </c>
      <c r="H548" s="151" t="str">
        <f t="shared" si="41"/>
        <v>1995/02/11</v>
      </c>
      <c r="I548" s="149" t="s">
        <v>295</v>
      </c>
      <c r="J548" s="149" t="s">
        <v>946</v>
      </c>
      <c r="K548" s="101" t="str">
        <f t="shared" si="42"/>
        <v>95</v>
      </c>
      <c r="L548" s="101" t="str">
        <f t="shared" si="43"/>
        <v>02</v>
      </c>
      <c r="M548" s="101" t="str">
        <f t="shared" si="44"/>
        <v>11</v>
      </c>
    </row>
    <row r="549" spans="1:13">
      <c r="A549" t="str">
        <f t="shared" si="40"/>
        <v>広島修道大学2548男</v>
      </c>
      <c r="B549" s="149" t="s">
        <v>2033</v>
      </c>
      <c r="C549" s="149">
        <v>2548</v>
      </c>
      <c r="D549" s="149" t="s">
        <v>2066</v>
      </c>
      <c r="E549" s="149" t="s">
        <v>2067</v>
      </c>
      <c r="F549" s="149" t="s">
        <v>265</v>
      </c>
      <c r="G549" s="149" t="s">
        <v>143</v>
      </c>
      <c r="H549" s="151" t="str">
        <f t="shared" si="41"/>
        <v>1994/05/02</v>
      </c>
      <c r="I549" s="149" t="s">
        <v>301</v>
      </c>
      <c r="J549" s="149" t="s">
        <v>469</v>
      </c>
      <c r="K549" s="101" t="str">
        <f t="shared" si="42"/>
        <v>94</v>
      </c>
      <c r="L549" s="101" t="str">
        <f t="shared" si="43"/>
        <v>05</v>
      </c>
      <c r="M549" s="101" t="str">
        <f t="shared" si="44"/>
        <v>02</v>
      </c>
    </row>
    <row r="550" spans="1:13">
      <c r="A550" t="str">
        <f t="shared" si="40"/>
        <v>広島修道大学2549男</v>
      </c>
      <c r="B550" s="149" t="s">
        <v>2033</v>
      </c>
      <c r="C550" s="149">
        <v>2549</v>
      </c>
      <c r="D550" s="149" t="s">
        <v>2068</v>
      </c>
      <c r="E550" s="149" t="s">
        <v>2069</v>
      </c>
      <c r="F550" s="149" t="s">
        <v>265</v>
      </c>
      <c r="G550" s="149" t="s">
        <v>143</v>
      </c>
      <c r="H550" s="151" t="str">
        <f t="shared" si="41"/>
        <v>1995/02/16</v>
      </c>
      <c r="I550" s="149" t="s">
        <v>295</v>
      </c>
      <c r="J550" s="149" t="s">
        <v>674</v>
      </c>
      <c r="K550" s="101" t="str">
        <f t="shared" si="42"/>
        <v>95</v>
      </c>
      <c r="L550" s="101" t="str">
        <f t="shared" si="43"/>
        <v>02</v>
      </c>
      <c r="M550" s="101" t="str">
        <f t="shared" si="44"/>
        <v>16</v>
      </c>
    </row>
    <row r="551" spans="1:13">
      <c r="A551" t="str">
        <f t="shared" si="40"/>
        <v>広島修道大学2550男</v>
      </c>
      <c r="B551" s="149" t="s">
        <v>2033</v>
      </c>
      <c r="C551" s="149">
        <v>2550</v>
      </c>
      <c r="D551" s="149" t="s">
        <v>2070</v>
      </c>
      <c r="E551" s="149" t="s">
        <v>2071</v>
      </c>
      <c r="F551" s="149" t="s">
        <v>265</v>
      </c>
      <c r="G551" s="149" t="s">
        <v>143</v>
      </c>
      <c r="H551" s="151" t="str">
        <f t="shared" si="41"/>
        <v>1994/04/28</v>
      </c>
      <c r="I551" s="149" t="s">
        <v>295</v>
      </c>
      <c r="J551" s="149" t="s">
        <v>347</v>
      </c>
      <c r="K551" s="101" t="str">
        <f t="shared" si="42"/>
        <v>94</v>
      </c>
      <c r="L551" s="101" t="str">
        <f t="shared" si="43"/>
        <v>04</v>
      </c>
      <c r="M551" s="101" t="str">
        <f t="shared" si="44"/>
        <v>28</v>
      </c>
    </row>
    <row r="552" spans="1:13">
      <c r="A552" t="str">
        <f t="shared" si="40"/>
        <v>広島修道大学2551男</v>
      </c>
      <c r="B552" s="149" t="s">
        <v>2033</v>
      </c>
      <c r="C552" s="149">
        <v>2551</v>
      </c>
      <c r="D552" s="149" t="s">
        <v>2072</v>
      </c>
      <c r="E552" s="149" t="s">
        <v>2073</v>
      </c>
      <c r="F552" s="149" t="s">
        <v>265</v>
      </c>
      <c r="G552" s="149" t="s">
        <v>143</v>
      </c>
      <c r="H552" s="151" t="str">
        <f t="shared" si="41"/>
        <v>1994/07/21</v>
      </c>
      <c r="I552" s="149" t="s">
        <v>295</v>
      </c>
      <c r="J552" s="149" t="s">
        <v>646</v>
      </c>
      <c r="K552" s="101" t="str">
        <f t="shared" si="42"/>
        <v>94</v>
      </c>
      <c r="L552" s="101" t="str">
        <f t="shared" si="43"/>
        <v>07</v>
      </c>
      <c r="M552" s="101" t="str">
        <f t="shared" si="44"/>
        <v>21</v>
      </c>
    </row>
    <row r="553" spans="1:13">
      <c r="A553" t="str">
        <f t="shared" si="40"/>
        <v>広島修道大学2552男</v>
      </c>
      <c r="B553" s="149" t="s">
        <v>2033</v>
      </c>
      <c r="C553" s="149">
        <v>2552</v>
      </c>
      <c r="D553" s="149" t="s">
        <v>2074</v>
      </c>
      <c r="E553" s="149" t="s">
        <v>2075</v>
      </c>
      <c r="F553" s="149" t="s">
        <v>267</v>
      </c>
      <c r="G553" s="149" t="s">
        <v>143</v>
      </c>
      <c r="H553" s="151" t="str">
        <f t="shared" si="41"/>
        <v>1995/07/05</v>
      </c>
      <c r="I553" s="149" t="s">
        <v>289</v>
      </c>
      <c r="J553" s="149" t="s">
        <v>3823</v>
      </c>
      <c r="K553" s="101" t="str">
        <f t="shared" si="42"/>
        <v>95</v>
      </c>
      <c r="L553" s="101" t="str">
        <f t="shared" si="43"/>
        <v>07</v>
      </c>
      <c r="M553" s="101" t="str">
        <f t="shared" si="44"/>
        <v>05</v>
      </c>
    </row>
    <row r="554" spans="1:13">
      <c r="A554" t="str">
        <f t="shared" si="40"/>
        <v>広島修道大学2553男</v>
      </c>
      <c r="B554" s="149" t="s">
        <v>2033</v>
      </c>
      <c r="C554" s="149">
        <v>2553</v>
      </c>
      <c r="D554" s="149" t="s">
        <v>2076</v>
      </c>
      <c r="E554" s="149" t="s">
        <v>2077</v>
      </c>
      <c r="F554" s="149" t="s">
        <v>267</v>
      </c>
      <c r="G554" s="149" t="s">
        <v>143</v>
      </c>
      <c r="H554" s="151" t="str">
        <f t="shared" si="41"/>
        <v>1995/11/03</v>
      </c>
      <c r="I554" s="149" t="s">
        <v>299</v>
      </c>
      <c r="J554" s="149" t="s">
        <v>367</v>
      </c>
      <c r="K554" s="101" t="str">
        <f t="shared" si="42"/>
        <v>95</v>
      </c>
      <c r="L554" s="101" t="str">
        <f t="shared" si="43"/>
        <v>11</v>
      </c>
      <c r="M554" s="101" t="str">
        <f t="shared" si="44"/>
        <v>03</v>
      </c>
    </row>
    <row r="555" spans="1:13">
      <c r="A555" t="str">
        <f t="shared" si="40"/>
        <v>広島修道大学2554男</v>
      </c>
      <c r="B555" s="149" t="s">
        <v>2033</v>
      </c>
      <c r="C555" s="149">
        <v>2554</v>
      </c>
      <c r="D555" s="149" t="s">
        <v>2078</v>
      </c>
      <c r="E555" s="149" t="s">
        <v>2079</v>
      </c>
      <c r="F555" s="149" t="s">
        <v>267</v>
      </c>
      <c r="G555" s="149" t="s">
        <v>143</v>
      </c>
      <c r="H555" s="151" t="str">
        <f t="shared" si="41"/>
        <v>1996/02/28</v>
      </c>
      <c r="I555" s="149" t="s">
        <v>295</v>
      </c>
      <c r="J555" s="149" t="s">
        <v>601</v>
      </c>
      <c r="K555" s="101" t="str">
        <f t="shared" si="42"/>
        <v>96</v>
      </c>
      <c r="L555" s="101" t="str">
        <f t="shared" si="43"/>
        <v>02</v>
      </c>
      <c r="M555" s="101" t="str">
        <f t="shared" si="44"/>
        <v>28</v>
      </c>
    </row>
    <row r="556" spans="1:13">
      <c r="A556" t="str">
        <f t="shared" si="40"/>
        <v>広島修道大学2555男</v>
      </c>
      <c r="B556" s="149" t="s">
        <v>2033</v>
      </c>
      <c r="C556" s="149">
        <v>2555</v>
      </c>
      <c r="D556" s="149" t="s">
        <v>2080</v>
      </c>
      <c r="E556" s="149" t="s">
        <v>2081</v>
      </c>
      <c r="F556" s="149" t="s">
        <v>267</v>
      </c>
      <c r="G556" s="149" t="s">
        <v>143</v>
      </c>
      <c r="H556" s="151" t="str">
        <f t="shared" si="41"/>
        <v>1995/06/11</v>
      </c>
      <c r="I556" s="149" t="s">
        <v>295</v>
      </c>
      <c r="J556" s="149" t="s">
        <v>448</v>
      </c>
      <c r="K556" s="101" t="str">
        <f t="shared" si="42"/>
        <v>95</v>
      </c>
      <c r="L556" s="101" t="str">
        <f t="shared" si="43"/>
        <v>06</v>
      </c>
      <c r="M556" s="101" t="str">
        <f t="shared" si="44"/>
        <v>11</v>
      </c>
    </row>
    <row r="557" spans="1:13">
      <c r="A557" t="str">
        <f t="shared" si="40"/>
        <v>広島修道大学2556男</v>
      </c>
      <c r="B557" s="149" t="s">
        <v>2033</v>
      </c>
      <c r="C557" s="149">
        <v>2556</v>
      </c>
      <c r="D557" s="149" t="s">
        <v>2082</v>
      </c>
      <c r="E557" s="149" t="s">
        <v>2083</v>
      </c>
      <c r="F557" s="149" t="s">
        <v>267</v>
      </c>
      <c r="G557" s="149" t="s">
        <v>143</v>
      </c>
      <c r="H557" s="151" t="str">
        <f t="shared" si="41"/>
        <v>1995/04/28</v>
      </c>
      <c r="I557" s="149" t="s">
        <v>295</v>
      </c>
      <c r="J557" s="149" t="s">
        <v>555</v>
      </c>
      <c r="K557" s="101" t="str">
        <f t="shared" si="42"/>
        <v>95</v>
      </c>
      <c r="L557" s="101" t="str">
        <f t="shared" si="43"/>
        <v>04</v>
      </c>
      <c r="M557" s="101" t="str">
        <f t="shared" si="44"/>
        <v>28</v>
      </c>
    </row>
    <row r="558" spans="1:13">
      <c r="A558" t="str">
        <f t="shared" si="40"/>
        <v>広島修道大学2557男</v>
      </c>
      <c r="B558" s="149" t="s">
        <v>2033</v>
      </c>
      <c r="C558" s="149">
        <v>2557</v>
      </c>
      <c r="D558" s="149" t="s">
        <v>2084</v>
      </c>
      <c r="E558" s="149" t="s">
        <v>2085</v>
      </c>
      <c r="F558" s="149" t="s">
        <v>267</v>
      </c>
      <c r="G558" s="149" t="s">
        <v>143</v>
      </c>
      <c r="H558" s="151" t="str">
        <f t="shared" si="41"/>
        <v>1996/03/17</v>
      </c>
      <c r="I558" s="149" t="s">
        <v>295</v>
      </c>
      <c r="J558" s="149" t="s">
        <v>896</v>
      </c>
      <c r="K558" s="101" t="str">
        <f t="shared" si="42"/>
        <v>96</v>
      </c>
      <c r="L558" s="101" t="str">
        <f t="shared" si="43"/>
        <v>03</v>
      </c>
      <c r="M558" s="101" t="str">
        <f t="shared" si="44"/>
        <v>17</v>
      </c>
    </row>
    <row r="559" spans="1:13">
      <c r="A559" t="str">
        <f t="shared" si="40"/>
        <v>広島修道大学2558男</v>
      </c>
      <c r="B559" s="149" t="s">
        <v>2033</v>
      </c>
      <c r="C559" s="149">
        <v>2558</v>
      </c>
      <c r="D559" s="149" t="s">
        <v>2086</v>
      </c>
      <c r="E559" s="149" t="s">
        <v>2087</v>
      </c>
      <c r="F559" s="149" t="s">
        <v>267</v>
      </c>
      <c r="G559" s="149" t="s">
        <v>143</v>
      </c>
      <c r="H559" s="151" t="str">
        <f t="shared" si="41"/>
        <v>1996/03/22</v>
      </c>
      <c r="I559" s="149" t="s">
        <v>295</v>
      </c>
      <c r="J559" s="149" t="s">
        <v>3824</v>
      </c>
      <c r="K559" s="101" t="str">
        <f t="shared" si="42"/>
        <v>96</v>
      </c>
      <c r="L559" s="101" t="str">
        <f t="shared" si="43"/>
        <v>03</v>
      </c>
      <c r="M559" s="101" t="str">
        <f t="shared" si="44"/>
        <v>22</v>
      </c>
    </row>
    <row r="560" spans="1:13">
      <c r="A560" t="str">
        <f t="shared" si="40"/>
        <v>鳴門教育大学2559男</v>
      </c>
      <c r="B560" s="149" t="s">
        <v>2088</v>
      </c>
      <c r="C560" s="149">
        <v>2559</v>
      </c>
      <c r="D560" s="149" t="s">
        <v>2089</v>
      </c>
      <c r="E560" s="149" t="s">
        <v>2090</v>
      </c>
      <c r="F560" s="149" t="s">
        <v>267</v>
      </c>
      <c r="G560" s="149" t="s">
        <v>143</v>
      </c>
      <c r="H560" s="151" t="str">
        <f t="shared" si="41"/>
        <v>1995/04/06</v>
      </c>
      <c r="I560" s="149" t="s">
        <v>276</v>
      </c>
      <c r="J560" s="149" t="s">
        <v>687</v>
      </c>
      <c r="K560" s="101" t="str">
        <f t="shared" si="42"/>
        <v>95</v>
      </c>
      <c r="L560" s="101" t="str">
        <f t="shared" si="43"/>
        <v>04</v>
      </c>
      <c r="M560" s="101" t="str">
        <f t="shared" si="44"/>
        <v>06</v>
      </c>
    </row>
    <row r="561" spans="1:13">
      <c r="A561" t="str">
        <f t="shared" si="40"/>
        <v>鳴門教育大学2560男</v>
      </c>
      <c r="B561" s="149" t="s">
        <v>2088</v>
      </c>
      <c r="C561" s="149">
        <v>2560</v>
      </c>
      <c r="D561" s="149" t="s">
        <v>2091</v>
      </c>
      <c r="E561" s="149" t="s">
        <v>321</v>
      </c>
      <c r="F561" s="149" t="s">
        <v>265</v>
      </c>
      <c r="G561" s="149" t="s">
        <v>143</v>
      </c>
      <c r="H561" s="151" t="str">
        <f t="shared" si="41"/>
        <v>1994/09/03</v>
      </c>
      <c r="I561" s="149" t="s">
        <v>276</v>
      </c>
      <c r="J561" s="149" t="s">
        <v>582</v>
      </c>
      <c r="K561" s="101" t="str">
        <f t="shared" si="42"/>
        <v>94</v>
      </c>
      <c r="L561" s="101" t="str">
        <f t="shared" si="43"/>
        <v>09</v>
      </c>
      <c r="M561" s="101" t="str">
        <f t="shared" si="44"/>
        <v>03</v>
      </c>
    </row>
    <row r="562" spans="1:13">
      <c r="A562" t="str">
        <f t="shared" si="40"/>
        <v>鳴門教育大学2561男</v>
      </c>
      <c r="B562" s="149" t="s">
        <v>2088</v>
      </c>
      <c r="C562" s="149">
        <v>2561</v>
      </c>
      <c r="D562" s="149" t="s">
        <v>2092</v>
      </c>
      <c r="E562" s="149" t="s">
        <v>2093</v>
      </c>
      <c r="F562" s="149" t="s">
        <v>265</v>
      </c>
      <c r="G562" s="149" t="s">
        <v>143</v>
      </c>
      <c r="H562" s="151" t="str">
        <f t="shared" si="41"/>
        <v>1993/12/23</v>
      </c>
      <c r="I562" s="149" t="s">
        <v>276</v>
      </c>
      <c r="J562" s="149" t="s">
        <v>3825</v>
      </c>
      <c r="K562" s="101" t="str">
        <f t="shared" si="42"/>
        <v>93</v>
      </c>
      <c r="L562" s="101" t="str">
        <f t="shared" si="43"/>
        <v>12</v>
      </c>
      <c r="M562" s="101" t="str">
        <f t="shared" si="44"/>
        <v>23</v>
      </c>
    </row>
    <row r="563" spans="1:13">
      <c r="A563" t="str">
        <f t="shared" si="40"/>
        <v>鳴門教育大学2562男</v>
      </c>
      <c r="B563" s="149" t="s">
        <v>2088</v>
      </c>
      <c r="C563" s="149">
        <v>2562</v>
      </c>
      <c r="D563" s="149" t="s">
        <v>2094</v>
      </c>
      <c r="E563" s="149" t="s">
        <v>2095</v>
      </c>
      <c r="F563" s="149" t="s">
        <v>260</v>
      </c>
      <c r="G563" s="149" t="s">
        <v>143</v>
      </c>
      <c r="H563" s="151" t="str">
        <f t="shared" si="41"/>
        <v>1993/01/07</v>
      </c>
      <c r="I563" s="149" t="s">
        <v>276</v>
      </c>
      <c r="J563" s="149" t="s">
        <v>3826</v>
      </c>
      <c r="K563" s="101" t="str">
        <f t="shared" si="42"/>
        <v>93</v>
      </c>
      <c r="L563" s="101" t="str">
        <f t="shared" si="43"/>
        <v>01</v>
      </c>
      <c r="M563" s="101" t="str">
        <f t="shared" si="44"/>
        <v>07</v>
      </c>
    </row>
    <row r="564" spans="1:13">
      <c r="A564" t="str">
        <f t="shared" si="40"/>
        <v>鳴門教育大学2563男</v>
      </c>
      <c r="B564" s="149" t="s">
        <v>2088</v>
      </c>
      <c r="C564" s="149">
        <v>2563</v>
      </c>
      <c r="D564" s="149" t="s">
        <v>2096</v>
      </c>
      <c r="E564" s="149" t="s">
        <v>283</v>
      </c>
      <c r="F564" s="149" t="s">
        <v>3629</v>
      </c>
      <c r="G564" s="149" t="s">
        <v>143</v>
      </c>
      <c r="H564" s="151" t="str">
        <f t="shared" si="41"/>
        <v>1989/10/12</v>
      </c>
      <c r="I564" s="149" t="s">
        <v>276</v>
      </c>
      <c r="J564" s="149" t="s">
        <v>3827</v>
      </c>
      <c r="K564" s="101" t="str">
        <f t="shared" si="42"/>
        <v>89</v>
      </c>
      <c r="L564" s="101" t="str">
        <f t="shared" si="43"/>
        <v>10</v>
      </c>
      <c r="M564" s="101" t="str">
        <f t="shared" si="44"/>
        <v>12</v>
      </c>
    </row>
    <row r="565" spans="1:13">
      <c r="A565" t="str">
        <f t="shared" si="40"/>
        <v>鳴門教育大学2564男</v>
      </c>
      <c r="B565" s="149" t="s">
        <v>2088</v>
      </c>
      <c r="C565" s="149">
        <v>2564</v>
      </c>
      <c r="D565" s="149" t="s">
        <v>2097</v>
      </c>
      <c r="E565" s="149" t="s">
        <v>2098</v>
      </c>
      <c r="F565" s="149" t="s">
        <v>267</v>
      </c>
      <c r="G565" s="149" t="s">
        <v>143</v>
      </c>
      <c r="H565" s="151" t="str">
        <f t="shared" si="41"/>
        <v>1995/03/02</v>
      </c>
      <c r="I565" s="149" t="s">
        <v>276</v>
      </c>
      <c r="J565" s="149" t="s">
        <v>3828</v>
      </c>
      <c r="K565" s="101" t="str">
        <f t="shared" si="42"/>
        <v>95</v>
      </c>
      <c r="L565" s="101" t="str">
        <f t="shared" si="43"/>
        <v>03</v>
      </c>
      <c r="M565" s="101" t="str">
        <f t="shared" si="44"/>
        <v>02</v>
      </c>
    </row>
    <row r="566" spans="1:13">
      <c r="A566" t="str">
        <f t="shared" si="40"/>
        <v>鳴門教育大学2565男</v>
      </c>
      <c r="B566" s="149" t="s">
        <v>2088</v>
      </c>
      <c r="C566" s="149">
        <v>2565</v>
      </c>
      <c r="D566" s="149" t="s">
        <v>2099</v>
      </c>
      <c r="E566" s="149" t="s">
        <v>2100</v>
      </c>
      <c r="F566" s="149" t="s">
        <v>260</v>
      </c>
      <c r="G566" s="149" t="s">
        <v>143</v>
      </c>
      <c r="H566" s="151" t="str">
        <f t="shared" si="41"/>
        <v>1993/01/09</v>
      </c>
      <c r="I566" s="149" t="s">
        <v>277</v>
      </c>
      <c r="J566" s="149" t="s">
        <v>3829</v>
      </c>
      <c r="K566" s="101" t="str">
        <f t="shared" si="42"/>
        <v>93</v>
      </c>
      <c r="L566" s="101" t="str">
        <f t="shared" si="43"/>
        <v>01</v>
      </c>
      <c r="M566" s="101" t="str">
        <f t="shared" si="44"/>
        <v>09</v>
      </c>
    </row>
    <row r="567" spans="1:13">
      <c r="A567" t="str">
        <f t="shared" si="40"/>
        <v>鳴門教育大学2566男</v>
      </c>
      <c r="B567" s="149" t="s">
        <v>2088</v>
      </c>
      <c r="C567" s="149">
        <v>2566</v>
      </c>
      <c r="D567" s="149" t="s">
        <v>2101</v>
      </c>
      <c r="E567" s="149" t="s">
        <v>2102</v>
      </c>
      <c r="F567" s="149" t="s">
        <v>265</v>
      </c>
      <c r="G567" s="149" t="s">
        <v>143</v>
      </c>
      <c r="H567" s="151" t="str">
        <f t="shared" si="41"/>
        <v>1993/10/22</v>
      </c>
      <c r="I567" s="149" t="s">
        <v>276</v>
      </c>
      <c r="J567" s="149" t="s">
        <v>557</v>
      </c>
      <c r="K567" s="101" t="str">
        <f t="shared" si="42"/>
        <v>93</v>
      </c>
      <c r="L567" s="101" t="str">
        <f t="shared" si="43"/>
        <v>10</v>
      </c>
      <c r="M567" s="101" t="str">
        <f t="shared" si="44"/>
        <v>22</v>
      </c>
    </row>
    <row r="568" spans="1:13">
      <c r="A568" t="str">
        <f t="shared" si="40"/>
        <v>鳴門教育大学2567男</v>
      </c>
      <c r="B568" s="149" t="s">
        <v>2088</v>
      </c>
      <c r="C568" s="149">
        <v>2567</v>
      </c>
      <c r="D568" s="149" t="s">
        <v>2103</v>
      </c>
      <c r="E568" s="149" t="s">
        <v>2104</v>
      </c>
      <c r="F568" s="149" t="s">
        <v>267</v>
      </c>
      <c r="G568" s="149" t="s">
        <v>143</v>
      </c>
      <c r="H568" s="151" t="str">
        <f t="shared" si="41"/>
        <v>1996/03/15</v>
      </c>
      <c r="I568" s="149" t="s">
        <v>276</v>
      </c>
      <c r="J568" s="149" t="s">
        <v>851</v>
      </c>
      <c r="K568" s="101" t="str">
        <f t="shared" si="42"/>
        <v>96</v>
      </c>
      <c r="L568" s="101" t="str">
        <f t="shared" si="43"/>
        <v>03</v>
      </c>
      <c r="M568" s="101" t="str">
        <f t="shared" si="44"/>
        <v>15</v>
      </c>
    </row>
    <row r="569" spans="1:13">
      <c r="A569" t="str">
        <f t="shared" si="40"/>
        <v>鳴門教育大学2568男</v>
      </c>
      <c r="B569" s="149" t="s">
        <v>2088</v>
      </c>
      <c r="C569" s="149">
        <v>2568</v>
      </c>
      <c r="D569" s="149" t="s">
        <v>2105</v>
      </c>
      <c r="E569" s="149" t="s">
        <v>2106</v>
      </c>
      <c r="F569" s="149" t="s">
        <v>260</v>
      </c>
      <c r="G569" s="149" t="s">
        <v>143</v>
      </c>
      <c r="H569" s="151" t="str">
        <f t="shared" si="41"/>
        <v>1993/07/21</v>
      </c>
      <c r="I569" s="149" t="s">
        <v>276</v>
      </c>
      <c r="J569" s="149" t="s">
        <v>3651</v>
      </c>
      <c r="K569" s="101" t="str">
        <f t="shared" si="42"/>
        <v>93</v>
      </c>
      <c r="L569" s="101" t="str">
        <f t="shared" si="43"/>
        <v>07</v>
      </c>
      <c r="M569" s="101" t="str">
        <f t="shared" si="44"/>
        <v>21</v>
      </c>
    </row>
    <row r="570" spans="1:13">
      <c r="A570" t="str">
        <f t="shared" si="40"/>
        <v>愛媛大学2569男</v>
      </c>
      <c r="B570" s="149" t="s">
        <v>2107</v>
      </c>
      <c r="C570" s="149">
        <v>2569</v>
      </c>
      <c r="D570" s="149" t="s">
        <v>2108</v>
      </c>
      <c r="E570" s="149" t="s">
        <v>2109</v>
      </c>
      <c r="F570" s="149" t="s">
        <v>279</v>
      </c>
      <c r="G570" s="149" t="s">
        <v>143</v>
      </c>
      <c r="H570" s="151" t="str">
        <f t="shared" si="41"/>
        <v>1991/06/29</v>
      </c>
      <c r="I570" s="149" t="s">
        <v>281</v>
      </c>
      <c r="J570" s="149" t="s">
        <v>3830</v>
      </c>
      <c r="K570" s="101" t="str">
        <f t="shared" si="42"/>
        <v>91</v>
      </c>
      <c r="L570" s="101" t="str">
        <f t="shared" si="43"/>
        <v>06</v>
      </c>
      <c r="M570" s="101" t="str">
        <f t="shared" si="44"/>
        <v>29</v>
      </c>
    </row>
    <row r="571" spans="1:13">
      <c r="A571" t="str">
        <f t="shared" si="40"/>
        <v>愛媛大学2570男</v>
      </c>
      <c r="B571" s="149" t="s">
        <v>2107</v>
      </c>
      <c r="C571" s="149">
        <v>2570</v>
      </c>
      <c r="D571" s="149" t="s">
        <v>2110</v>
      </c>
      <c r="E571" s="149" t="s">
        <v>2111</v>
      </c>
      <c r="F571" s="149" t="s">
        <v>293</v>
      </c>
      <c r="G571" s="149" t="s">
        <v>143</v>
      </c>
      <c r="H571" s="151" t="str">
        <f t="shared" si="41"/>
        <v>1993/02/04</v>
      </c>
      <c r="I571" s="149" t="s">
        <v>281</v>
      </c>
      <c r="J571" s="149" t="s">
        <v>3831</v>
      </c>
      <c r="K571" s="101" t="str">
        <f t="shared" si="42"/>
        <v>93</v>
      </c>
      <c r="L571" s="101" t="str">
        <f t="shared" si="43"/>
        <v>02</v>
      </c>
      <c r="M571" s="101" t="str">
        <f t="shared" si="44"/>
        <v>04</v>
      </c>
    </row>
    <row r="572" spans="1:13">
      <c r="A572" t="str">
        <f t="shared" si="40"/>
        <v>愛媛大学2571男</v>
      </c>
      <c r="B572" s="149" t="s">
        <v>2107</v>
      </c>
      <c r="C572" s="149">
        <v>2571</v>
      </c>
      <c r="D572" s="149" t="s">
        <v>2112</v>
      </c>
      <c r="E572" s="149" t="s">
        <v>2113</v>
      </c>
      <c r="F572" s="149" t="s">
        <v>293</v>
      </c>
      <c r="G572" s="149" t="s">
        <v>143</v>
      </c>
      <c r="H572" s="151" t="str">
        <f t="shared" si="41"/>
        <v>1992/06/27</v>
      </c>
      <c r="I572" s="149" t="s">
        <v>281</v>
      </c>
      <c r="J572" s="149" t="s">
        <v>3832</v>
      </c>
      <c r="K572" s="101" t="str">
        <f t="shared" si="42"/>
        <v>92</v>
      </c>
      <c r="L572" s="101" t="str">
        <f t="shared" si="43"/>
        <v>06</v>
      </c>
      <c r="M572" s="101" t="str">
        <f t="shared" si="44"/>
        <v>27</v>
      </c>
    </row>
    <row r="573" spans="1:13">
      <c r="A573" t="str">
        <f t="shared" si="40"/>
        <v>愛媛大学2572男</v>
      </c>
      <c r="B573" s="149" t="s">
        <v>2107</v>
      </c>
      <c r="C573" s="149">
        <v>2572</v>
      </c>
      <c r="D573" s="149" t="s">
        <v>2114</v>
      </c>
      <c r="E573" s="149" t="s">
        <v>2115</v>
      </c>
      <c r="F573" s="149" t="s">
        <v>293</v>
      </c>
      <c r="G573" s="149" t="s">
        <v>143</v>
      </c>
      <c r="H573" s="151" t="str">
        <f t="shared" si="41"/>
        <v>1991/07/01</v>
      </c>
      <c r="I573" s="149" t="s">
        <v>281</v>
      </c>
      <c r="J573" s="149" t="s">
        <v>3833</v>
      </c>
      <c r="K573" s="101" t="str">
        <f t="shared" si="42"/>
        <v>91</v>
      </c>
      <c r="L573" s="101" t="str">
        <f t="shared" si="43"/>
        <v>07</v>
      </c>
      <c r="M573" s="101" t="str">
        <f t="shared" si="44"/>
        <v>01</v>
      </c>
    </row>
    <row r="574" spans="1:13">
      <c r="A574" t="str">
        <f t="shared" si="40"/>
        <v>愛媛大学2573男</v>
      </c>
      <c r="B574" s="149" t="s">
        <v>2107</v>
      </c>
      <c r="C574" s="149">
        <v>2573</v>
      </c>
      <c r="D574" s="149" t="s">
        <v>2116</v>
      </c>
      <c r="E574" s="149" t="s">
        <v>2117</v>
      </c>
      <c r="F574" s="149" t="s">
        <v>260</v>
      </c>
      <c r="G574" s="149" t="s">
        <v>143</v>
      </c>
      <c r="H574" s="151" t="str">
        <f t="shared" si="41"/>
        <v>1993/04/28</v>
      </c>
      <c r="I574" s="149" t="s">
        <v>281</v>
      </c>
      <c r="J574" s="149" t="s">
        <v>323</v>
      </c>
      <c r="K574" s="101" t="str">
        <f t="shared" si="42"/>
        <v>93</v>
      </c>
      <c r="L574" s="101" t="str">
        <f t="shared" si="43"/>
        <v>04</v>
      </c>
      <c r="M574" s="101" t="str">
        <f t="shared" si="44"/>
        <v>28</v>
      </c>
    </row>
    <row r="575" spans="1:13">
      <c r="A575" t="str">
        <f t="shared" si="40"/>
        <v>愛媛大学2574男</v>
      </c>
      <c r="B575" s="149" t="s">
        <v>2107</v>
      </c>
      <c r="C575" s="149">
        <v>2574</v>
      </c>
      <c r="D575" s="149" t="s">
        <v>2118</v>
      </c>
      <c r="E575" s="149" t="s">
        <v>2119</v>
      </c>
      <c r="F575" s="149" t="s">
        <v>260</v>
      </c>
      <c r="G575" s="149" t="s">
        <v>143</v>
      </c>
      <c r="H575" s="151" t="str">
        <f t="shared" si="41"/>
        <v>1992/04/07</v>
      </c>
      <c r="I575" s="149" t="s">
        <v>281</v>
      </c>
      <c r="J575" s="149" t="s">
        <v>3834</v>
      </c>
      <c r="K575" s="101" t="str">
        <f t="shared" si="42"/>
        <v>92</v>
      </c>
      <c r="L575" s="101" t="str">
        <f t="shared" si="43"/>
        <v>04</v>
      </c>
      <c r="M575" s="101" t="str">
        <f t="shared" si="44"/>
        <v>07</v>
      </c>
    </row>
    <row r="576" spans="1:13">
      <c r="A576" t="str">
        <f t="shared" si="40"/>
        <v>愛媛大学2575男</v>
      </c>
      <c r="B576" s="149" t="s">
        <v>2107</v>
      </c>
      <c r="C576" s="149">
        <v>2575</v>
      </c>
      <c r="D576" s="149" t="s">
        <v>2120</v>
      </c>
      <c r="E576" s="149" t="s">
        <v>2121</v>
      </c>
      <c r="F576" s="149" t="s">
        <v>260</v>
      </c>
      <c r="G576" s="149" t="s">
        <v>143</v>
      </c>
      <c r="H576" s="151" t="str">
        <f t="shared" si="41"/>
        <v>1993/12/09</v>
      </c>
      <c r="I576" s="149" t="s">
        <v>281</v>
      </c>
      <c r="J576" s="149" t="s">
        <v>885</v>
      </c>
      <c r="K576" s="101" t="str">
        <f t="shared" si="42"/>
        <v>93</v>
      </c>
      <c r="L576" s="101" t="str">
        <f t="shared" si="43"/>
        <v>12</v>
      </c>
      <c r="M576" s="101" t="str">
        <f t="shared" si="44"/>
        <v>09</v>
      </c>
    </row>
    <row r="577" spans="1:13">
      <c r="A577" t="str">
        <f t="shared" si="40"/>
        <v>愛媛大学2576男</v>
      </c>
      <c r="B577" s="149" t="s">
        <v>2107</v>
      </c>
      <c r="C577" s="149">
        <v>2576</v>
      </c>
      <c r="D577" s="149" t="s">
        <v>2122</v>
      </c>
      <c r="E577" s="149" t="s">
        <v>2123</v>
      </c>
      <c r="F577" s="149" t="s">
        <v>265</v>
      </c>
      <c r="G577" s="149" t="s">
        <v>143</v>
      </c>
      <c r="H577" s="151" t="str">
        <f t="shared" si="41"/>
        <v>1994/05/02</v>
      </c>
      <c r="I577" s="149" t="s">
        <v>281</v>
      </c>
      <c r="J577" s="149" t="s">
        <v>469</v>
      </c>
      <c r="K577" s="101" t="str">
        <f t="shared" si="42"/>
        <v>94</v>
      </c>
      <c r="L577" s="101" t="str">
        <f t="shared" si="43"/>
        <v>05</v>
      </c>
      <c r="M577" s="101" t="str">
        <f t="shared" si="44"/>
        <v>02</v>
      </c>
    </row>
    <row r="578" spans="1:13">
      <c r="A578" t="str">
        <f t="shared" ref="A578:A641" si="45">B578&amp;C578&amp;G578</f>
        <v>愛媛大学2577男</v>
      </c>
      <c r="B578" s="149" t="s">
        <v>2107</v>
      </c>
      <c r="C578" s="149">
        <v>2577</v>
      </c>
      <c r="D578" s="149" t="s">
        <v>2124</v>
      </c>
      <c r="E578" s="149" t="s">
        <v>2125</v>
      </c>
      <c r="F578" s="149" t="s">
        <v>267</v>
      </c>
      <c r="G578" s="149" t="s">
        <v>143</v>
      </c>
      <c r="H578" s="151" t="str">
        <f t="shared" si="41"/>
        <v>1995/08/22</v>
      </c>
      <c r="I578" s="149" t="s">
        <v>281</v>
      </c>
      <c r="J578" s="149" t="s">
        <v>498</v>
      </c>
      <c r="K578" s="101" t="str">
        <f t="shared" si="42"/>
        <v>95</v>
      </c>
      <c r="L578" s="101" t="str">
        <f t="shared" si="43"/>
        <v>08</v>
      </c>
      <c r="M578" s="101" t="str">
        <f t="shared" si="44"/>
        <v>22</v>
      </c>
    </row>
    <row r="579" spans="1:13">
      <c r="A579" t="str">
        <f t="shared" si="45"/>
        <v>愛媛大学2578男</v>
      </c>
      <c r="B579" s="149" t="s">
        <v>2107</v>
      </c>
      <c r="C579" s="149">
        <v>2578</v>
      </c>
      <c r="D579" s="149" t="s">
        <v>2126</v>
      </c>
      <c r="E579" s="149" t="s">
        <v>2127</v>
      </c>
      <c r="F579" s="149" t="s">
        <v>267</v>
      </c>
      <c r="G579" s="149" t="s">
        <v>143</v>
      </c>
      <c r="H579" s="151" t="str">
        <f t="shared" ref="H579:H642" si="46">"19"&amp;K579&amp;"/"&amp;L579&amp;"/"&amp;M579</f>
        <v>1995/05/03</v>
      </c>
      <c r="I579" s="149" t="s">
        <v>281</v>
      </c>
      <c r="J579" s="149" t="s">
        <v>494</v>
      </c>
      <c r="K579" s="101" t="str">
        <f t="shared" ref="K579:K642" si="47">MID(J579,1,2)</f>
        <v>95</v>
      </c>
      <c r="L579" s="101" t="str">
        <f t="shared" ref="L579:L642" si="48">MID(J579,3,2)</f>
        <v>05</v>
      </c>
      <c r="M579" s="101" t="str">
        <f t="shared" ref="M579:M642" si="49">MID(J579,5,2)</f>
        <v>03</v>
      </c>
    </row>
    <row r="580" spans="1:13">
      <c r="A580" t="str">
        <f t="shared" si="45"/>
        <v>愛媛大学2579男</v>
      </c>
      <c r="B580" s="149" t="s">
        <v>2107</v>
      </c>
      <c r="C580" s="149">
        <v>2579</v>
      </c>
      <c r="D580" s="149" t="s">
        <v>2128</v>
      </c>
      <c r="E580" s="149" t="s">
        <v>2129</v>
      </c>
      <c r="F580" s="149" t="s">
        <v>260</v>
      </c>
      <c r="G580" s="149" t="s">
        <v>143</v>
      </c>
      <c r="H580" s="151" t="str">
        <f t="shared" si="46"/>
        <v>1992/08/26</v>
      </c>
      <c r="I580" s="149" t="s">
        <v>281</v>
      </c>
      <c r="J580" s="149" t="s">
        <v>636</v>
      </c>
      <c r="K580" s="101" t="str">
        <f t="shared" si="47"/>
        <v>92</v>
      </c>
      <c r="L580" s="101" t="str">
        <f t="shared" si="48"/>
        <v>08</v>
      </c>
      <c r="M580" s="101" t="str">
        <f t="shared" si="49"/>
        <v>26</v>
      </c>
    </row>
    <row r="581" spans="1:13">
      <c r="A581" t="str">
        <f t="shared" si="45"/>
        <v>愛媛大学2580男</v>
      </c>
      <c r="B581" s="149" t="s">
        <v>2107</v>
      </c>
      <c r="C581" s="149">
        <v>2580</v>
      </c>
      <c r="D581" s="149" t="s">
        <v>2130</v>
      </c>
      <c r="E581" s="149" t="s">
        <v>2131</v>
      </c>
      <c r="F581" s="149" t="s">
        <v>260</v>
      </c>
      <c r="G581" s="149" t="s">
        <v>143</v>
      </c>
      <c r="H581" s="151" t="str">
        <f t="shared" si="46"/>
        <v>1993/09/25</v>
      </c>
      <c r="I581" s="149" t="s">
        <v>269</v>
      </c>
      <c r="J581" s="149" t="s">
        <v>3804</v>
      </c>
      <c r="K581" s="101" t="str">
        <f t="shared" si="47"/>
        <v>93</v>
      </c>
      <c r="L581" s="101" t="str">
        <f t="shared" si="48"/>
        <v>09</v>
      </c>
      <c r="M581" s="101" t="str">
        <f t="shared" si="49"/>
        <v>25</v>
      </c>
    </row>
    <row r="582" spans="1:13">
      <c r="A582" t="str">
        <f t="shared" si="45"/>
        <v>愛媛大学2581男</v>
      </c>
      <c r="B582" s="149" t="s">
        <v>2107</v>
      </c>
      <c r="C582" s="149">
        <v>2581</v>
      </c>
      <c r="D582" s="149" t="s">
        <v>2132</v>
      </c>
      <c r="E582" s="149" t="s">
        <v>2133</v>
      </c>
      <c r="F582" s="149" t="s">
        <v>260</v>
      </c>
      <c r="G582" s="149" t="s">
        <v>143</v>
      </c>
      <c r="H582" s="151" t="str">
        <f t="shared" si="46"/>
        <v>1994/03/08</v>
      </c>
      <c r="I582" s="149" t="s">
        <v>281</v>
      </c>
      <c r="J582" s="149" t="s">
        <v>3835</v>
      </c>
      <c r="K582" s="101" t="str">
        <f t="shared" si="47"/>
        <v>94</v>
      </c>
      <c r="L582" s="101" t="str">
        <f t="shared" si="48"/>
        <v>03</v>
      </c>
      <c r="M582" s="101" t="str">
        <f t="shared" si="49"/>
        <v>08</v>
      </c>
    </row>
    <row r="583" spans="1:13">
      <c r="A583" t="str">
        <f t="shared" si="45"/>
        <v>愛媛大学2582男</v>
      </c>
      <c r="B583" s="149" t="s">
        <v>2107</v>
      </c>
      <c r="C583" s="149">
        <v>2582</v>
      </c>
      <c r="D583" s="149" t="s">
        <v>2134</v>
      </c>
      <c r="E583" s="149" t="s">
        <v>2135</v>
      </c>
      <c r="F583" s="149" t="s">
        <v>260</v>
      </c>
      <c r="G583" s="149" t="s">
        <v>143</v>
      </c>
      <c r="H583" s="151" t="str">
        <f t="shared" si="46"/>
        <v>1994/03/11</v>
      </c>
      <c r="I583" s="149" t="s">
        <v>266</v>
      </c>
      <c r="J583" s="149" t="s">
        <v>399</v>
      </c>
      <c r="K583" s="101" t="str">
        <f t="shared" si="47"/>
        <v>94</v>
      </c>
      <c r="L583" s="101" t="str">
        <f t="shared" si="48"/>
        <v>03</v>
      </c>
      <c r="M583" s="101" t="str">
        <f t="shared" si="49"/>
        <v>11</v>
      </c>
    </row>
    <row r="584" spans="1:13">
      <c r="A584" t="str">
        <f t="shared" si="45"/>
        <v>愛媛大学2583男</v>
      </c>
      <c r="B584" s="149" t="s">
        <v>2107</v>
      </c>
      <c r="C584" s="149">
        <v>2583</v>
      </c>
      <c r="D584" s="149" t="s">
        <v>2136</v>
      </c>
      <c r="E584" s="149" t="s">
        <v>2137</v>
      </c>
      <c r="F584" s="149" t="s">
        <v>260</v>
      </c>
      <c r="G584" s="149" t="s">
        <v>143</v>
      </c>
      <c r="H584" s="151" t="str">
        <f t="shared" si="46"/>
        <v>1994/01/26</v>
      </c>
      <c r="I584" s="149" t="s">
        <v>295</v>
      </c>
      <c r="J584" s="149" t="s">
        <v>336</v>
      </c>
      <c r="K584" s="101" t="str">
        <f t="shared" si="47"/>
        <v>94</v>
      </c>
      <c r="L584" s="101" t="str">
        <f t="shared" si="48"/>
        <v>01</v>
      </c>
      <c r="M584" s="101" t="str">
        <f t="shared" si="49"/>
        <v>26</v>
      </c>
    </row>
    <row r="585" spans="1:13">
      <c r="A585" t="str">
        <f t="shared" si="45"/>
        <v>愛媛大学2584男</v>
      </c>
      <c r="B585" s="149" t="s">
        <v>2107</v>
      </c>
      <c r="C585" s="149">
        <v>2584</v>
      </c>
      <c r="D585" s="149" t="s">
        <v>2138</v>
      </c>
      <c r="E585" s="149" t="s">
        <v>2139</v>
      </c>
      <c r="F585" s="149" t="s">
        <v>265</v>
      </c>
      <c r="G585" s="149" t="s">
        <v>143</v>
      </c>
      <c r="H585" s="151" t="str">
        <f t="shared" si="46"/>
        <v>1994/10/12</v>
      </c>
      <c r="I585" s="149" t="s">
        <v>299</v>
      </c>
      <c r="J585" s="149" t="s">
        <v>3699</v>
      </c>
      <c r="K585" s="101" t="str">
        <f t="shared" si="47"/>
        <v>94</v>
      </c>
      <c r="L585" s="101" t="str">
        <f t="shared" si="48"/>
        <v>10</v>
      </c>
      <c r="M585" s="101" t="str">
        <f t="shared" si="49"/>
        <v>12</v>
      </c>
    </row>
    <row r="586" spans="1:13">
      <c r="A586" t="str">
        <f t="shared" si="45"/>
        <v>愛媛大学2585男</v>
      </c>
      <c r="B586" s="149" t="s">
        <v>2107</v>
      </c>
      <c r="C586" s="149">
        <v>2585</v>
      </c>
      <c r="D586" s="149" t="s">
        <v>2140</v>
      </c>
      <c r="E586" s="149" t="s">
        <v>2141</v>
      </c>
      <c r="F586" s="149" t="s">
        <v>265</v>
      </c>
      <c r="G586" s="149" t="s">
        <v>143</v>
      </c>
      <c r="H586" s="151" t="str">
        <f t="shared" si="46"/>
        <v>1994/04/25</v>
      </c>
      <c r="I586" s="149" t="s">
        <v>295</v>
      </c>
      <c r="J586" s="149" t="s">
        <v>436</v>
      </c>
      <c r="K586" s="101" t="str">
        <f t="shared" si="47"/>
        <v>94</v>
      </c>
      <c r="L586" s="101" t="str">
        <f t="shared" si="48"/>
        <v>04</v>
      </c>
      <c r="M586" s="101" t="str">
        <f t="shared" si="49"/>
        <v>25</v>
      </c>
    </row>
    <row r="587" spans="1:13">
      <c r="A587" t="str">
        <f t="shared" si="45"/>
        <v>愛媛大学2586男</v>
      </c>
      <c r="B587" s="149" t="s">
        <v>2107</v>
      </c>
      <c r="C587" s="149">
        <v>2586</v>
      </c>
      <c r="D587" s="149" t="s">
        <v>2142</v>
      </c>
      <c r="E587" s="149" t="s">
        <v>2143</v>
      </c>
      <c r="F587" s="149" t="s">
        <v>265</v>
      </c>
      <c r="G587" s="149" t="s">
        <v>143</v>
      </c>
      <c r="H587" s="151" t="str">
        <f t="shared" si="46"/>
        <v>1994/09/09</v>
      </c>
      <c r="I587" s="149" t="s">
        <v>281</v>
      </c>
      <c r="J587" s="149" t="s">
        <v>598</v>
      </c>
      <c r="K587" s="101" t="str">
        <f t="shared" si="47"/>
        <v>94</v>
      </c>
      <c r="L587" s="101" t="str">
        <f t="shared" si="48"/>
        <v>09</v>
      </c>
      <c r="M587" s="101" t="str">
        <f t="shared" si="49"/>
        <v>09</v>
      </c>
    </row>
    <row r="588" spans="1:13">
      <c r="A588" t="str">
        <f t="shared" si="45"/>
        <v>愛媛大学2587男</v>
      </c>
      <c r="B588" s="149" t="s">
        <v>2107</v>
      </c>
      <c r="C588" s="149">
        <v>2587</v>
      </c>
      <c r="D588" s="149" t="s">
        <v>2144</v>
      </c>
      <c r="E588" s="149" t="s">
        <v>2145</v>
      </c>
      <c r="F588" s="149" t="s">
        <v>265</v>
      </c>
      <c r="G588" s="149" t="s">
        <v>143</v>
      </c>
      <c r="H588" s="151" t="str">
        <f t="shared" si="46"/>
        <v>1995/03/15</v>
      </c>
      <c r="I588" s="149" t="s">
        <v>295</v>
      </c>
      <c r="J588" s="149" t="s">
        <v>3836</v>
      </c>
      <c r="K588" s="101" t="str">
        <f t="shared" si="47"/>
        <v>95</v>
      </c>
      <c r="L588" s="101" t="str">
        <f t="shared" si="48"/>
        <v>03</v>
      </c>
      <c r="M588" s="101" t="str">
        <f t="shared" si="49"/>
        <v>15</v>
      </c>
    </row>
    <row r="589" spans="1:13">
      <c r="A589" t="str">
        <f t="shared" si="45"/>
        <v>愛媛大学2588男</v>
      </c>
      <c r="B589" s="149" t="s">
        <v>2107</v>
      </c>
      <c r="C589" s="149">
        <v>2588</v>
      </c>
      <c r="D589" s="149" t="s">
        <v>2146</v>
      </c>
      <c r="E589" s="149" t="s">
        <v>2147</v>
      </c>
      <c r="F589" s="149" t="s">
        <v>265</v>
      </c>
      <c r="G589" s="149" t="s">
        <v>143</v>
      </c>
      <c r="H589" s="151" t="str">
        <f t="shared" si="46"/>
        <v>1994/09/23</v>
      </c>
      <c r="I589" s="149" t="s">
        <v>281</v>
      </c>
      <c r="J589" s="149" t="s">
        <v>3777</v>
      </c>
      <c r="K589" s="101" t="str">
        <f t="shared" si="47"/>
        <v>94</v>
      </c>
      <c r="L589" s="101" t="str">
        <f t="shared" si="48"/>
        <v>09</v>
      </c>
      <c r="M589" s="101" t="str">
        <f t="shared" si="49"/>
        <v>23</v>
      </c>
    </row>
    <row r="590" spans="1:13">
      <c r="A590" t="str">
        <f t="shared" si="45"/>
        <v>愛媛大学2589男</v>
      </c>
      <c r="B590" s="149" t="s">
        <v>2107</v>
      </c>
      <c r="C590" s="149">
        <v>2589</v>
      </c>
      <c r="D590" s="149" t="s">
        <v>2148</v>
      </c>
      <c r="E590" s="149" t="s">
        <v>2149</v>
      </c>
      <c r="F590" s="149" t="s">
        <v>265</v>
      </c>
      <c r="G590" s="149" t="s">
        <v>143</v>
      </c>
      <c r="H590" s="151" t="str">
        <f t="shared" si="46"/>
        <v>1994/05/04</v>
      </c>
      <c r="I590" s="149" t="s">
        <v>281</v>
      </c>
      <c r="J590" s="149" t="s">
        <v>907</v>
      </c>
      <c r="K590" s="101" t="str">
        <f t="shared" si="47"/>
        <v>94</v>
      </c>
      <c r="L590" s="101" t="str">
        <f t="shared" si="48"/>
        <v>05</v>
      </c>
      <c r="M590" s="101" t="str">
        <f t="shared" si="49"/>
        <v>04</v>
      </c>
    </row>
    <row r="591" spans="1:13">
      <c r="A591" t="str">
        <f t="shared" si="45"/>
        <v>愛媛大学2590男</v>
      </c>
      <c r="B591" s="149" t="s">
        <v>2107</v>
      </c>
      <c r="C591" s="149">
        <v>2590</v>
      </c>
      <c r="D591" s="149" t="s">
        <v>2150</v>
      </c>
      <c r="E591" s="149" t="s">
        <v>2151</v>
      </c>
      <c r="F591" s="149" t="s">
        <v>265</v>
      </c>
      <c r="G591" s="149" t="s">
        <v>143</v>
      </c>
      <c r="H591" s="151" t="str">
        <f t="shared" si="46"/>
        <v>1994/12/25</v>
      </c>
      <c r="I591" s="149" t="s">
        <v>295</v>
      </c>
      <c r="J591" s="149" t="s">
        <v>3691</v>
      </c>
      <c r="K591" s="101" t="str">
        <f t="shared" si="47"/>
        <v>94</v>
      </c>
      <c r="L591" s="101" t="str">
        <f t="shared" si="48"/>
        <v>12</v>
      </c>
      <c r="M591" s="101" t="str">
        <f t="shared" si="49"/>
        <v>25</v>
      </c>
    </row>
    <row r="592" spans="1:13">
      <c r="A592" t="str">
        <f t="shared" si="45"/>
        <v>愛媛大学2591男</v>
      </c>
      <c r="B592" s="149" t="s">
        <v>2107</v>
      </c>
      <c r="C592" s="149">
        <v>2591</v>
      </c>
      <c r="D592" s="149" t="s">
        <v>2152</v>
      </c>
      <c r="E592" s="149" t="s">
        <v>2153</v>
      </c>
      <c r="F592" s="149" t="s">
        <v>267</v>
      </c>
      <c r="G592" s="149" t="s">
        <v>143</v>
      </c>
      <c r="H592" s="151" t="str">
        <f t="shared" si="46"/>
        <v>1995/04/23</v>
      </c>
      <c r="I592" s="149" t="s">
        <v>281</v>
      </c>
      <c r="J592" s="149" t="s">
        <v>615</v>
      </c>
      <c r="K592" s="101" t="str">
        <f t="shared" si="47"/>
        <v>95</v>
      </c>
      <c r="L592" s="101" t="str">
        <f t="shared" si="48"/>
        <v>04</v>
      </c>
      <c r="M592" s="101" t="str">
        <f t="shared" si="49"/>
        <v>23</v>
      </c>
    </row>
    <row r="593" spans="1:13">
      <c r="A593" t="str">
        <f t="shared" si="45"/>
        <v>愛媛大学2592男</v>
      </c>
      <c r="B593" s="149" t="s">
        <v>2107</v>
      </c>
      <c r="C593" s="149">
        <v>2592</v>
      </c>
      <c r="D593" s="149" t="s">
        <v>2154</v>
      </c>
      <c r="E593" s="149" t="s">
        <v>2155</v>
      </c>
      <c r="F593" s="149" t="s">
        <v>267</v>
      </c>
      <c r="G593" s="149" t="s">
        <v>143</v>
      </c>
      <c r="H593" s="151" t="str">
        <f t="shared" si="46"/>
        <v>1996/02/22</v>
      </c>
      <c r="I593" s="149" t="s">
        <v>278</v>
      </c>
      <c r="J593" s="149" t="s">
        <v>899</v>
      </c>
      <c r="K593" s="101" t="str">
        <f t="shared" si="47"/>
        <v>96</v>
      </c>
      <c r="L593" s="101" t="str">
        <f t="shared" si="48"/>
        <v>02</v>
      </c>
      <c r="M593" s="101" t="str">
        <f t="shared" si="49"/>
        <v>22</v>
      </c>
    </row>
    <row r="594" spans="1:13">
      <c r="A594" t="str">
        <f t="shared" si="45"/>
        <v>愛媛大学2593男</v>
      </c>
      <c r="B594" s="149" t="s">
        <v>2107</v>
      </c>
      <c r="C594" s="149">
        <v>2593</v>
      </c>
      <c r="D594" s="149" t="s">
        <v>2156</v>
      </c>
      <c r="E594" s="149" t="s">
        <v>2157</v>
      </c>
      <c r="F594" s="149" t="s">
        <v>267</v>
      </c>
      <c r="G594" s="149" t="s">
        <v>143</v>
      </c>
      <c r="H594" s="151" t="str">
        <f t="shared" si="46"/>
        <v>1995/04/02</v>
      </c>
      <c r="I594" s="149" t="s">
        <v>281</v>
      </c>
      <c r="J594" s="149" t="s">
        <v>356</v>
      </c>
      <c r="K594" s="101" t="str">
        <f t="shared" si="47"/>
        <v>95</v>
      </c>
      <c r="L594" s="101" t="str">
        <f t="shared" si="48"/>
        <v>04</v>
      </c>
      <c r="M594" s="101" t="str">
        <f t="shared" si="49"/>
        <v>02</v>
      </c>
    </row>
    <row r="595" spans="1:13">
      <c r="A595" t="str">
        <f t="shared" si="45"/>
        <v>愛媛大学2594男</v>
      </c>
      <c r="B595" s="149" t="s">
        <v>2107</v>
      </c>
      <c r="C595" s="149">
        <v>2594</v>
      </c>
      <c r="D595" s="149" t="s">
        <v>2158</v>
      </c>
      <c r="E595" s="149" t="s">
        <v>2159</v>
      </c>
      <c r="F595" s="149" t="s">
        <v>267</v>
      </c>
      <c r="G595" s="149" t="s">
        <v>143</v>
      </c>
      <c r="H595" s="151" t="str">
        <f t="shared" si="46"/>
        <v>1996/03/13</v>
      </c>
      <c r="I595" s="149" t="s">
        <v>281</v>
      </c>
      <c r="J595" s="149" t="s">
        <v>488</v>
      </c>
      <c r="K595" s="101" t="str">
        <f t="shared" si="47"/>
        <v>96</v>
      </c>
      <c r="L595" s="101" t="str">
        <f t="shared" si="48"/>
        <v>03</v>
      </c>
      <c r="M595" s="101" t="str">
        <f t="shared" si="49"/>
        <v>13</v>
      </c>
    </row>
    <row r="596" spans="1:13">
      <c r="A596" t="str">
        <f t="shared" si="45"/>
        <v>愛媛大学2595男</v>
      </c>
      <c r="B596" s="149" t="s">
        <v>2107</v>
      </c>
      <c r="C596" s="149">
        <v>2595</v>
      </c>
      <c r="D596" s="149" t="s">
        <v>2160</v>
      </c>
      <c r="E596" s="149" t="s">
        <v>2161</v>
      </c>
      <c r="F596" s="149" t="s">
        <v>267</v>
      </c>
      <c r="G596" s="149" t="s">
        <v>143</v>
      </c>
      <c r="H596" s="151" t="str">
        <f t="shared" si="46"/>
        <v>1995/11/16</v>
      </c>
      <c r="I596" s="149" t="s">
        <v>281</v>
      </c>
      <c r="J596" s="149" t="s">
        <v>3737</v>
      </c>
      <c r="K596" s="101" t="str">
        <f t="shared" si="47"/>
        <v>95</v>
      </c>
      <c r="L596" s="101" t="str">
        <f t="shared" si="48"/>
        <v>11</v>
      </c>
      <c r="M596" s="101" t="str">
        <f t="shared" si="49"/>
        <v>16</v>
      </c>
    </row>
    <row r="597" spans="1:13">
      <c r="A597" t="str">
        <f t="shared" si="45"/>
        <v>愛媛大学2596男</v>
      </c>
      <c r="B597" s="149" t="s">
        <v>2107</v>
      </c>
      <c r="C597" s="149">
        <v>2596</v>
      </c>
      <c r="D597" s="149" t="s">
        <v>2162</v>
      </c>
      <c r="E597" s="149" t="s">
        <v>2163</v>
      </c>
      <c r="F597" s="149" t="s">
        <v>267</v>
      </c>
      <c r="G597" s="149" t="s">
        <v>143</v>
      </c>
      <c r="H597" s="151" t="str">
        <f t="shared" si="46"/>
        <v>1996/01/06</v>
      </c>
      <c r="I597" s="149" t="s">
        <v>281</v>
      </c>
      <c r="J597" s="149" t="s">
        <v>3776</v>
      </c>
      <c r="K597" s="101" t="str">
        <f t="shared" si="47"/>
        <v>96</v>
      </c>
      <c r="L597" s="101" t="str">
        <f t="shared" si="48"/>
        <v>01</v>
      </c>
      <c r="M597" s="101" t="str">
        <f t="shared" si="49"/>
        <v>06</v>
      </c>
    </row>
    <row r="598" spans="1:13">
      <c r="A598" t="str">
        <f t="shared" si="45"/>
        <v>愛媛大学2597男</v>
      </c>
      <c r="B598" s="149" t="s">
        <v>2107</v>
      </c>
      <c r="C598" s="149">
        <v>2597</v>
      </c>
      <c r="D598" s="149" t="s">
        <v>2164</v>
      </c>
      <c r="E598" s="149" t="s">
        <v>2165</v>
      </c>
      <c r="F598" s="149" t="s">
        <v>267</v>
      </c>
      <c r="G598" s="149" t="s">
        <v>143</v>
      </c>
      <c r="H598" s="151" t="str">
        <f t="shared" si="46"/>
        <v>1995/10/25</v>
      </c>
      <c r="I598" s="149" t="s">
        <v>295</v>
      </c>
      <c r="J598" s="149" t="s">
        <v>678</v>
      </c>
      <c r="K598" s="101" t="str">
        <f t="shared" si="47"/>
        <v>95</v>
      </c>
      <c r="L598" s="101" t="str">
        <f t="shared" si="48"/>
        <v>10</v>
      </c>
      <c r="M598" s="101" t="str">
        <f t="shared" si="49"/>
        <v>25</v>
      </c>
    </row>
    <row r="599" spans="1:13">
      <c r="A599" t="str">
        <f t="shared" si="45"/>
        <v>愛媛大学2598男</v>
      </c>
      <c r="B599" s="149" t="s">
        <v>2107</v>
      </c>
      <c r="C599" s="149">
        <v>2598</v>
      </c>
      <c r="D599" s="149" t="s">
        <v>2166</v>
      </c>
      <c r="E599" s="149" t="s">
        <v>2167</v>
      </c>
      <c r="F599" s="149" t="s">
        <v>267</v>
      </c>
      <c r="G599" s="149" t="s">
        <v>143</v>
      </c>
      <c r="H599" s="151" t="str">
        <f t="shared" si="46"/>
        <v>1995/06/09</v>
      </c>
      <c r="I599" s="149" t="s">
        <v>276</v>
      </c>
      <c r="J599" s="149" t="s">
        <v>533</v>
      </c>
      <c r="K599" s="101" t="str">
        <f t="shared" si="47"/>
        <v>95</v>
      </c>
      <c r="L599" s="101" t="str">
        <f t="shared" si="48"/>
        <v>06</v>
      </c>
      <c r="M599" s="101" t="str">
        <f t="shared" si="49"/>
        <v>09</v>
      </c>
    </row>
    <row r="600" spans="1:13">
      <c r="A600" t="str">
        <f t="shared" si="45"/>
        <v>愛媛大学2599男</v>
      </c>
      <c r="B600" s="149" t="s">
        <v>2107</v>
      </c>
      <c r="C600" s="149">
        <v>2599</v>
      </c>
      <c r="D600" s="149" t="s">
        <v>2168</v>
      </c>
      <c r="E600" s="149" t="s">
        <v>2169</v>
      </c>
      <c r="F600" s="149" t="s">
        <v>267</v>
      </c>
      <c r="G600" s="149" t="s">
        <v>143</v>
      </c>
      <c r="H600" s="151" t="str">
        <f t="shared" si="46"/>
        <v>1996/04/01</v>
      </c>
      <c r="I600" s="149" t="s">
        <v>281</v>
      </c>
      <c r="J600" s="149" t="s">
        <v>681</v>
      </c>
      <c r="K600" s="101" t="str">
        <f t="shared" si="47"/>
        <v>96</v>
      </c>
      <c r="L600" s="101" t="str">
        <f t="shared" si="48"/>
        <v>04</v>
      </c>
      <c r="M600" s="101" t="str">
        <f t="shared" si="49"/>
        <v>01</v>
      </c>
    </row>
    <row r="601" spans="1:13">
      <c r="A601" t="str">
        <f t="shared" si="45"/>
        <v>愛媛大学2600男</v>
      </c>
      <c r="B601" s="149" t="s">
        <v>2107</v>
      </c>
      <c r="C601" s="149">
        <v>2600</v>
      </c>
      <c r="D601" s="149" t="s">
        <v>2170</v>
      </c>
      <c r="E601" s="149" t="s">
        <v>2171</v>
      </c>
      <c r="F601" s="149" t="s">
        <v>267</v>
      </c>
      <c r="G601" s="149" t="s">
        <v>143</v>
      </c>
      <c r="H601" s="151" t="str">
        <f t="shared" si="46"/>
        <v>1994/09/22</v>
      </c>
      <c r="I601" s="149" t="s">
        <v>281</v>
      </c>
      <c r="J601" s="149" t="s">
        <v>404</v>
      </c>
      <c r="K601" s="101" t="str">
        <f t="shared" si="47"/>
        <v>94</v>
      </c>
      <c r="L601" s="101" t="str">
        <f t="shared" si="48"/>
        <v>09</v>
      </c>
      <c r="M601" s="101" t="str">
        <f t="shared" si="49"/>
        <v>22</v>
      </c>
    </row>
    <row r="602" spans="1:13">
      <c r="A602" t="str">
        <f t="shared" si="45"/>
        <v>愛媛大学2601男</v>
      </c>
      <c r="B602" s="149" t="s">
        <v>2107</v>
      </c>
      <c r="C602" s="149">
        <v>2601</v>
      </c>
      <c r="D602" s="149" t="s">
        <v>2172</v>
      </c>
      <c r="E602" s="149" t="s">
        <v>2173</v>
      </c>
      <c r="F602" s="149" t="s">
        <v>267</v>
      </c>
      <c r="G602" s="149" t="s">
        <v>143</v>
      </c>
      <c r="H602" s="151" t="str">
        <f t="shared" si="46"/>
        <v>1994/04/29</v>
      </c>
      <c r="I602" s="149" t="s">
        <v>281</v>
      </c>
      <c r="J602" s="149" t="s">
        <v>483</v>
      </c>
      <c r="K602" s="101" t="str">
        <f t="shared" si="47"/>
        <v>94</v>
      </c>
      <c r="L602" s="101" t="str">
        <f t="shared" si="48"/>
        <v>04</v>
      </c>
      <c r="M602" s="101" t="str">
        <f t="shared" si="49"/>
        <v>29</v>
      </c>
    </row>
    <row r="603" spans="1:13">
      <c r="A603" t="str">
        <f t="shared" si="45"/>
        <v>愛媛大学2602男</v>
      </c>
      <c r="B603" s="149" t="s">
        <v>2107</v>
      </c>
      <c r="C603" s="149">
        <v>2602</v>
      </c>
      <c r="D603" s="149" t="s">
        <v>2174</v>
      </c>
      <c r="E603" s="149" t="s">
        <v>2175</v>
      </c>
      <c r="F603" s="149" t="s">
        <v>267</v>
      </c>
      <c r="G603" s="149" t="s">
        <v>143</v>
      </c>
      <c r="H603" s="151" t="str">
        <f t="shared" si="46"/>
        <v>1996/02/15</v>
      </c>
      <c r="I603" s="149" t="s">
        <v>281</v>
      </c>
      <c r="J603" s="149" t="s">
        <v>537</v>
      </c>
      <c r="K603" s="101" t="str">
        <f t="shared" si="47"/>
        <v>96</v>
      </c>
      <c r="L603" s="101" t="str">
        <f t="shared" si="48"/>
        <v>02</v>
      </c>
      <c r="M603" s="101" t="str">
        <f t="shared" si="49"/>
        <v>15</v>
      </c>
    </row>
    <row r="604" spans="1:13">
      <c r="A604" t="str">
        <f t="shared" si="45"/>
        <v>川崎医療福祉大学2603男</v>
      </c>
      <c r="B604" s="149" t="s">
        <v>2176</v>
      </c>
      <c r="C604" s="149">
        <v>2603</v>
      </c>
      <c r="D604" s="149" t="s">
        <v>2177</v>
      </c>
      <c r="E604" s="149" t="s">
        <v>2178</v>
      </c>
      <c r="F604" s="149" t="s">
        <v>267</v>
      </c>
      <c r="G604" s="149" t="s">
        <v>143</v>
      </c>
      <c r="H604" s="151" t="str">
        <f t="shared" si="46"/>
        <v>1995/06/20</v>
      </c>
      <c r="I604" s="149" t="s">
        <v>289</v>
      </c>
      <c r="J604" s="149" t="s">
        <v>3837</v>
      </c>
      <c r="K604" s="101" t="str">
        <f t="shared" si="47"/>
        <v>95</v>
      </c>
      <c r="L604" s="101" t="str">
        <f t="shared" si="48"/>
        <v>06</v>
      </c>
      <c r="M604" s="101" t="str">
        <f t="shared" si="49"/>
        <v>20</v>
      </c>
    </row>
    <row r="605" spans="1:13">
      <c r="A605" t="str">
        <f t="shared" si="45"/>
        <v>川崎医療福祉大学2604男</v>
      </c>
      <c r="B605" s="149" t="s">
        <v>2176</v>
      </c>
      <c r="C605" s="149">
        <v>2604</v>
      </c>
      <c r="D605" s="149" t="s">
        <v>2179</v>
      </c>
      <c r="E605" s="149" t="s">
        <v>2180</v>
      </c>
      <c r="F605" s="149" t="s">
        <v>267</v>
      </c>
      <c r="G605" s="149" t="s">
        <v>143</v>
      </c>
      <c r="H605" s="151" t="str">
        <f t="shared" si="46"/>
        <v>1995/06/18</v>
      </c>
      <c r="I605" s="149" t="s">
        <v>299</v>
      </c>
      <c r="J605" s="149" t="s">
        <v>3838</v>
      </c>
      <c r="K605" s="101" t="str">
        <f t="shared" si="47"/>
        <v>95</v>
      </c>
      <c r="L605" s="101" t="str">
        <f t="shared" si="48"/>
        <v>06</v>
      </c>
      <c r="M605" s="101" t="str">
        <f t="shared" si="49"/>
        <v>18</v>
      </c>
    </row>
    <row r="606" spans="1:13">
      <c r="A606" t="str">
        <f t="shared" si="45"/>
        <v>川崎医療福祉大学2605男</v>
      </c>
      <c r="B606" s="149" t="s">
        <v>2176</v>
      </c>
      <c r="C606" s="149">
        <v>2605</v>
      </c>
      <c r="D606" s="149" t="s">
        <v>2181</v>
      </c>
      <c r="E606" s="149" t="s">
        <v>2182</v>
      </c>
      <c r="F606" s="149" t="s">
        <v>267</v>
      </c>
      <c r="G606" s="149" t="s">
        <v>143</v>
      </c>
      <c r="H606" s="151" t="str">
        <f t="shared" si="46"/>
        <v>1995/04/13</v>
      </c>
      <c r="I606" s="149" t="s">
        <v>299</v>
      </c>
      <c r="J606" s="149" t="s">
        <v>618</v>
      </c>
      <c r="K606" s="101" t="str">
        <f t="shared" si="47"/>
        <v>95</v>
      </c>
      <c r="L606" s="101" t="str">
        <f t="shared" si="48"/>
        <v>04</v>
      </c>
      <c r="M606" s="101" t="str">
        <f t="shared" si="49"/>
        <v>13</v>
      </c>
    </row>
    <row r="607" spans="1:13">
      <c r="A607" t="str">
        <f t="shared" si="45"/>
        <v>川崎医療福祉大学2606男</v>
      </c>
      <c r="B607" s="149" t="s">
        <v>2176</v>
      </c>
      <c r="C607" s="149">
        <v>2606</v>
      </c>
      <c r="D607" s="149" t="s">
        <v>2183</v>
      </c>
      <c r="E607" s="149" t="s">
        <v>2184</v>
      </c>
      <c r="F607" s="149" t="s">
        <v>267</v>
      </c>
      <c r="G607" s="149" t="s">
        <v>143</v>
      </c>
      <c r="H607" s="151" t="str">
        <f t="shared" si="46"/>
        <v>1994/08/10</v>
      </c>
      <c r="I607" s="149" t="s">
        <v>295</v>
      </c>
      <c r="J607" s="149" t="s">
        <v>854</v>
      </c>
      <c r="K607" s="101" t="str">
        <f t="shared" si="47"/>
        <v>94</v>
      </c>
      <c r="L607" s="101" t="str">
        <f t="shared" si="48"/>
        <v>08</v>
      </c>
      <c r="M607" s="101" t="str">
        <f t="shared" si="49"/>
        <v>10</v>
      </c>
    </row>
    <row r="608" spans="1:13">
      <c r="A608" t="str">
        <f t="shared" si="45"/>
        <v>川崎医療福祉大学2607男</v>
      </c>
      <c r="B608" s="149" t="s">
        <v>2176</v>
      </c>
      <c r="C608" s="149">
        <v>2607</v>
      </c>
      <c r="D608" s="149" t="s">
        <v>2185</v>
      </c>
      <c r="E608" s="149" t="s">
        <v>2186</v>
      </c>
      <c r="F608" s="149" t="s">
        <v>267</v>
      </c>
      <c r="G608" s="149" t="s">
        <v>143</v>
      </c>
      <c r="H608" s="151" t="str">
        <f t="shared" si="46"/>
        <v>1995/09/07</v>
      </c>
      <c r="I608" s="149" t="s">
        <v>299</v>
      </c>
      <c r="J608" s="149" t="s">
        <v>3711</v>
      </c>
      <c r="K608" s="101" t="str">
        <f t="shared" si="47"/>
        <v>95</v>
      </c>
      <c r="L608" s="101" t="str">
        <f t="shared" si="48"/>
        <v>09</v>
      </c>
      <c r="M608" s="101" t="str">
        <f t="shared" si="49"/>
        <v>07</v>
      </c>
    </row>
    <row r="609" spans="1:13">
      <c r="A609" t="str">
        <f t="shared" si="45"/>
        <v>川崎医療福祉大学2608男</v>
      </c>
      <c r="B609" s="149" t="s">
        <v>2176</v>
      </c>
      <c r="C609" s="149">
        <v>2608</v>
      </c>
      <c r="D609" s="149" t="s">
        <v>2187</v>
      </c>
      <c r="E609" s="149" t="s">
        <v>2188</v>
      </c>
      <c r="F609" s="149" t="s">
        <v>267</v>
      </c>
      <c r="G609" s="149" t="s">
        <v>143</v>
      </c>
      <c r="H609" s="151" t="str">
        <f t="shared" si="46"/>
        <v>1995/09/02</v>
      </c>
      <c r="I609" s="149" t="s">
        <v>289</v>
      </c>
      <c r="J609" s="149" t="s">
        <v>781</v>
      </c>
      <c r="K609" s="101" t="str">
        <f t="shared" si="47"/>
        <v>95</v>
      </c>
      <c r="L609" s="101" t="str">
        <f t="shared" si="48"/>
        <v>09</v>
      </c>
      <c r="M609" s="101" t="str">
        <f t="shared" si="49"/>
        <v>02</v>
      </c>
    </row>
    <row r="610" spans="1:13">
      <c r="A610" t="str">
        <f t="shared" si="45"/>
        <v>川崎医療福祉大学2609男</v>
      </c>
      <c r="B610" s="149" t="s">
        <v>2176</v>
      </c>
      <c r="C610" s="149">
        <v>2609</v>
      </c>
      <c r="D610" s="149" t="s">
        <v>2189</v>
      </c>
      <c r="E610" s="149" t="s">
        <v>2190</v>
      </c>
      <c r="F610" s="149" t="s">
        <v>267</v>
      </c>
      <c r="G610" s="149" t="s">
        <v>143</v>
      </c>
      <c r="H610" s="151" t="str">
        <f t="shared" si="46"/>
        <v>1995/08/10</v>
      </c>
      <c r="I610" s="149" t="s">
        <v>299</v>
      </c>
      <c r="J610" s="149" t="s">
        <v>413</v>
      </c>
      <c r="K610" s="101" t="str">
        <f t="shared" si="47"/>
        <v>95</v>
      </c>
      <c r="L610" s="101" t="str">
        <f t="shared" si="48"/>
        <v>08</v>
      </c>
      <c r="M610" s="101" t="str">
        <f t="shared" si="49"/>
        <v>10</v>
      </c>
    </row>
    <row r="611" spans="1:13">
      <c r="A611" t="str">
        <f t="shared" si="45"/>
        <v>川崎医療福祉大学2610男</v>
      </c>
      <c r="B611" s="149" t="s">
        <v>2176</v>
      </c>
      <c r="C611" s="149">
        <v>2610</v>
      </c>
      <c r="D611" s="149" t="s">
        <v>2191</v>
      </c>
      <c r="E611" s="149" t="s">
        <v>2192</v>
      </c>
      <c r="F611" s="149" t="s">
        <v>267</v>
      </c>
      <c r="G611" s="149" t="s">
        <v>143</v>
      </c>
      <c r="H611" s="151" t="str">
        <f t="shared" si="46"/>
        <v>1995/06/13</v>
      </c>
      <c r="I611" s="149" t="s">
        <v>299</v>
      </c>
      <c r="J611" s="149" t="s">
        <v>621</v>
      </c>
      <c r="K611" s="101" t="str">
        <f t="shared" si="47"/>
        <v>95</v>
      </c>
      <c r="L611" s="101" t="str">
        <f t="shared" si="48"/>
        <v>06</v>
      </c>
      <c r="M611" s="101" t="str">
        <f t="shared" si="49"/>
        <v>13</v>
      </c>
    </row>
    <row r="612" spans="1:13">
      <c r="A612" t="str">
        <f t="shared" si="45"/>
        <v>川崎医療福祉大学2611男</v>
      </c>
      <c r="B612" s="149" t="s">
        <v>2176</v>
      </c>
      <c r="C612" s="149">
        <v>2611</v>
      </c>
      <c r="D612" s="149" t="s">
        <v>2193</v>
      </c>
      <c r="E612" s="149" t="s">
        <v>2194</v>
      </c>
      <c r="F612" s="149" t="s">
        <v>265</v>
      </c>
      <c r="G612" s="149" t="s">
        <v>143</v>
      </c>
      <c r="H612" s="151" t="str">
        <f t="shared" si="46"/>
        <v>1994/12/02</v>
      </c>
      <c r="I612" s="149" t="s">
        <v>299</v>
      </c>
      <c r="J612" s="149" t="s">
        <v>587</v>
      </c>
      <c r="K612" s="101" t="str">
        <f t="shared" si="47"/>
        <v>94</v>
      </c>
      <c r="L612" s="101" t="str">
        <f t="shared" si="48"/>
        <v>12</v>
      </c>
      <c r="M612" s="101" t="str">
        <f t="shared" si="49"/>
        <v>02</v>
      </c>
    </row>
    <row r="613" spans="1:13">
      <c r="A613" t="str">
        <f t="shared" si="45"/>
        <v>川崎医療福祉大学2612男</v>
      </c>
      <c r="B613" s="149" t="s">
        <v>2176</v>
      </c>
      <c r="C613" s="149">
        <v>2612</v>
      </c>
      <c r="D613" s="149" t="s">
        <v>2195</v>
      </c>
      <c r="E613" s="149" t="s">
        <v>2196</v>
      </c>
      <c r="F613" s="149" t="s">
        <v>265</v>
      </c>
      <c r="G613" s="149" t="s">
        <v>143</v>
      </c>
      <c r="H613" s="151" t="str">
        <f t="shared" si="46"/>
        <v>1995/02/26</v>
      </c>
      <c r="I613" s="149" t="s">
        <v>299</v>
      </c>
      <c r="J613" s="149" t="s">
        <v>606</v>
      </c>
      <c r="K613" s="101" t="str">
        <f t="shared" si="47"/>
        <v>95</v>
      </c>
      <c r="L613" s="101" t="str">
        <f t="shared" si="48"/>
        <v>02</v>
      </c>
      <c r="M613" s="101" t="str">
        <f t="shared" si="49"/>
        <v>26</v>
      </c>
    </row>
    <row r="614" spans="1:13">
      <c r="A614" t="str">
        <f t="shared" si="45"/>
        <v>川崎医療福祉大学2613男</v>
      </c>
      <c r="B614" s="149" t="s">
        <v>2176</v>
      </c>
      <c r="C614" s="149">
        <v>2613</v>
      </c>
      <c r="D614" s="149" t="s">
        <v>2197</v>
      </c>
      <c r="E614" s="149" t="s">
        <v>2198</v>
      </c>
      <c r="F614" s="149" t="s">
        <v>260</v>
      </c>
      <c r="G614" s="149" t="s">
        <v>143</v>
      </c>
      <c r="H614" s="151" t="str">
        <f t="shared" si="46"/>
        <v>1994/01/12</v>
      </c>
      <c r="I614" s="149" t="s">
        <v>299</v>
      </c>
      <c r="J614" s="149" t="s">
        <v>3839</v>
      </c>
      <c r="K614" s="101" t="str">
        <f t="shared" si="47"/>
        <v>94</v>
      </c>
      <c r="L614" s="101" t="str">
        <f t="shared" si="48"/>
        <v>01</v>
      </c>
      <c r="M614" s="101" t="str">
        <f t="shared" si="49"/>
        <v>12</v>
      </c>
    </row>
    <row r="615" spans="1:13">
      <c r="A615" t="str">
        <f t="shared" si="45"/>
        <v>川崎医療福祉大学2614男</v>
      </c>
      <c r="B615" s="149" t="s">
        <v>2176</v>
      </c>
      <c r="C615" s="149">
        <v>2614</v>
      </c>
      <c r="D615" s="149" t="s">
        <v>2199</v>
      </c>
      <c r="E615" s="149" t="s">
        <v>2200</v>
      </c>
      <c r="F615" s="149" t="s">
        <v>260</v>
      </c>
      <c r="G615" s="149" t="s">
        <v>143</v>
      </c>
      <c r="H615" s="151" t="str">
        <f t="shared" si="46"/>
        <v>1993/09/29</v>
      </c>
      <c r="I615" s="149" t="s">
        <v>299</v>
      </c>
      <c r="J615" s="149" t="s">
        <v>549</v>
      </c>
      <c r="K615" s="101" t="str">
        <f t="shared" si="47"/>
        <v>93</v>
      </c>
      <c r="L615" s="101" t="str">
        <f t="shared" si="48"/>
        <v>09</v>
      </c>
      <c r="M615" s="101" t="str">
        <f t="shared" si="49"/>
        <v>29</v>
      </c>
    </row>
    <row r="616" spans="1:13">
      <c r="A616" t="str">
        <f t="shared" si="45"/>
        <v>川崎医療福祉大学2615男</v>
      </c>
      <c r="B616" s="149" t="s">
        <v>2176</v>
      </c>
      <c r="C616" s="149">
        <v>2615</v>
      </c>
      <c r="D616" s="149" t="s">
        <v>2201</v>
      </c>
      <c r="E616" s="149" t="s">
        <v>2202</v>
      </c>
      <c r="F616" s="149" t="s">
        <v>260</v>
      </c>
      <c r="G616" s="149" t="s">
        <v>143</v>
      </c>
      <c r="H616" s="151" t="str">
        <f t="shared" si="46"/>
        <v>1993/09/14</v>
      </c>
      <c r="I616" s="149" t="s">
        <v>299</v>
      </c>
      <c r="J616" s="149" t="s">
        <v>634</v>
      </c>
      <c r="K616" s="101" t="str">
        <f t="shared" si="47"/>
        <v>93</v>
      </c>
      <c r="L616" s="101" t="str">
        <f t="shared" si="48"/>
        <v>09</v>
      </c>
      <c r="M616" s="101" t="str">
        <f t="shared" si="49"/>
        <v>14</v>
      </c>
    </row>
    <row r="617" spans="1:13">
      <c r="A617" t="str">
        <f t="shared" si="45"/>
        <v>島根県立大学2616男</v>
      </c>
      <c r="B617" s="149" t="s">
        <v>2203</v>
      </c>
      <c r="C617" s="149">
        <v>2616</v>
      </c>
      <c r="D617" s="149" t="s">
        <v>2204</v>
      </c>
      <c r="E617" s="149" t="s">
        <v>2205</v>
      </c>
      <c r="F617" s="149" t="s">
        <v>260</v>
      </c>
      <c r="G617" s="149" t="s">
        <v>143</v>
      </c>
      <c r="H617" s="151" t="str">
        <f t="shared" si="46"/>
        <v>1993/08/08</v>
      </c>
      <c r="I617" s="149" t="s">
        <v>301</v>
      </c>
      <c r="J617" s="149" t="s">
        <v>841</v>
      </c>
      <c r="K617" s="101" t="str">
        <f t="shared" si="47"/>
        <v>93</v>
      </c>
      <c r="L617" s="101" t="str">
        <f t="shared" si="48"/>
        <v>08</v>
      </c>
      <c r="M617" s="101" t="str">
        <f t="shared" si="49"/>
        <v>08</v>
      </c>
    </row>
    <row r="618" spans="1:13">
      <c r="A618" t="str">
        <f t="shared" si="45"/>
        <v>島根県立大学2617男</v>
      </c>
      <c r="B618" s="149" t="s">
        <v>2203</v>
      </c>
      <c r="C618" s="149">
        <v>2617</v>
      </c>
      <c r="D618" s="149" t="s">
        <v>2206</v>
      </c>
      <c r="E618" s="149" t="s">
        <v>2207</v>
      </c>
      <c r="F618" s="149" t="s">
        <v>265</v>
      </c>
      <c r="G618" s="149" t="s">
        <v>143</v>
      </c>
      <c r="H618" s="151" t="str">
        <f t="shared" si="46"/>
        <v>1994/07/27</v>
      </c>
      <c r="I618" s="149" t="s">
        <v>301</v>
      </c>
      <c r="J618" s="149" t="s">
        <v>579</v>
      </c>
      <c r="K618" s="101" t="str">
        <f t="shared" si="47"/>
        <v>94</v>
      </c>
      <c r="L618" s="101" t="str">
        <f t="shared" si="48"/>
        <v>07</v>
      </c>
      <c r="M618" s="101" t="str">
        <f t="shared" si="49"/>
        <v>27</v>
      </c>
    </row>
    <row r="619" spans="1:13">
      <c r="A619" t="str">
        <f t="shared" si="45"/>
        <v>島根県立大学2618男</v>
      </c>
      <c r="B619" s="149" t="s">
        <v>2203</v>
      </c>
      <c r="C619" s="149">
        <v>2618</v>
      </c>
      <c r="D619" s="149" t="s">
        <v>2208</v>
      </c>
      <c r="E619" s="149" t="s">
        <v>2209</v>
      </c>
      <c r="F619" s="149" t="s">
        <v>265</v>
      </c>
      <c r="G619" s="149" t="s">
        <v>143</v>
      </c>
      <c r="H619" s="151" t="str">
        <f t="shared" si="46"/>
        <v>1994/09/22</v>
      </c>
      <c r="I619" s="149" t="s">
        <v>301</v>
      </c>
      <c r="J619" s="149" t="s">
        <v>404</v>
      </c>
      <c r="K619" s="101" t="str">
        <f t="shared" si="47"/>
        <v>94</v>
      </c>
      <c r="L619" s="101" t="str">
        <f t="shared" si="48"/>
        <v>09</v>
      </c>
      <c r="M619" s="101" t="str">
        <f t="shared" si="49"/>
        <v>22</v>
      </c>
    </row>
    <row r="620" spans="1:13">
      <c r="A620" t="str">
        <f t="shared" si="45"/>
        <v>島根県立大学2619男</v>
      </c>
      <c r="B620" s="149" t="s">
        <v>2203</v>
      </c>
      <c r="C620" s="149">
        <v>2619</v>
      </c>
      <c r="D620" s="149" t="s">
        <v>2210</v>
      </c>
      <c r="E620" s="149" t="s">
        <v>2211</v>
      </c>
      <c r="F620" s="149" t="s">
        <v>265</v>
      </c>
      <c r="G620" s="149" t="s">
        <v>143</v>
      </c>
      <c r="H620" s="151" t="str">
        <f t="shared" si="46"/>
        <v>1994/07/22</v>
      </c>
      <c r="I620" s="149" t="s">
        <v>301</v>
      </c>
      <c r="J620" s="149" t="s">
        <v>343</v>
      </c>
      <c r="K620" s="101" t="str">
        <f t="shared" si="47"/>
        <v>94</v>
      </c>
      <c r="L620" s="101" t="str">
        <f t="shared" si="48"/>
        <v>07</v>
      </c>
      <c r="M620" s="101" t="str">
        <f t="shared" si="49"/>
        <v>22</v>
      </c>
    </row>
    <row r="621" spans="1:13">
      <c r="A621" t="str">
        <f t="shared" si="45"/>
        <v>島根県立大学2620男</v>
      </c>
      <c r="B621" s="149" t="s">
        <v>2203</v>
      </c>
      <c r="C621" s="149">
        <v>2620</v>
      </c>
      <c r="D621" s="149" t="s">
        <v>2212</v>
      </c>
      <c r="E621" s="149" t="s">
        <v>2213</v>
      </c>
      <c r="F621" s="149" t="s">
        <v>267</v>
      </c>
      <c r="G621" s="149" t="s">
        <v>143</v>
      </c>
      <c r="H621" s="151" t="str">
        <f t="shared" si="46"/>
        <v>1995/07/03</v>
      </c>
      <c r="I621" s="149" t="s">
        <v>301</v>
      </c>
      <c r="J621" s="149" t="s">
        <v>365</v>
      </c>
      <c r="K621" s="101" t="str">
        <f t="shared" si="47"/>
        <v>95</v>
      </c>
      <c r="L621" s="101" t="str">
        <f t="shared" si="48"/>
        <v>07</v>
      </c>
      <c r="M621" s="101" t="str">
        <f t="shared" si="49"/>
        <v>03</v>
      </c>
    </row>
    <row r="622" spans="1:13">
      <c r="A622" t="str">
        <f t="shared" si="45"/>
        <v>山口大学2621男</v>
      </c>
      <c r="B622" s="149" t="s">
        <v>1311</v>
      </c>
      <c r="C622" s="149">
        <v>2621</v>
      </c>
      <c r="D622" s="149" t="s">
        <v>2214</v>
      </c>
      <c r="E622" s="149" t="s">
        <v>2215</v>
      </c>
      <c r="F622" s="149" t="s">
        <v>267</v>
      </c>
      <c r="G622" s="149" t="s">
        <v>143</v>
      </c>
      <c r="H622" s="151" t="str">
        <f t="shared" si="46"/>
        <v>1996/03/15</v>
      </c>
      <c r="I622" s="149" t="s">
        <v>269</v>
      </c>
      <c r="J622" s="149" t="s">
        <v>851</v>
      </c>
      <c r="K622" s="101" t="str">
        <f t="shared" si="47"/>
        <v>96</v>
      </c>
      <c r="L622" s="101" t="str">
        <f t="shared" si="48"/>
        <v>03</v>
      </c>
      <c r="M622" s="101" t="str">
        <f t="shared" si="49"/>
        <v>15</v>
      </c>
    </row>
    <row r="623" spans="1:13">
      <c r="A623" t="str">
        <f t="shared" si="45"/>
        <v>山口大学2622男</v>
      </c>
      <c r="B623" s="149" t="s">
        <v>1311</v>
      </c>
      <c r="C623" s="149">
        <v>2622</v>
      </c>
      <c r="D623" s="149" t="s">
        <v>2216</v>
      </c>
      <c r="E623" s="149" t="s">
        <v>2217</v>
      </c>
      <c r="F623" s="149" t="s">
        <v>267</v>
      </c>
      <c r="G623" s="149" t="s">
        <v>143</v>
      </c>
      <c r="H623" s="151" t="str">
        <f t="shared" si="46"/>
        <v>1996/01/16</v>
      </c>
      <c r="I623" s="149" t="s">
        <v>269</v>
      </c>
      <c r="J623" s="149" t="s">
        <v>614</v>
      </c>
      <c r="K623" s="101" t="str">
        <f t="shared" si="47"/>
        <v>96</v>
      </c>
      <c r="L623" s="101" t="str">
        <f t="shared" si="48"/>
        <v>01</v>
      </c>
      <c r="M623" s="101" t="str">
        <f t="shared" si="49"/>
        <v>16</v>
      </c>
    </row>
    <row r="624" spans="1:13">
      <c r="A624" t="str">
        <f t="shared" si="45"/>
        <v>山口大学2623男</v>
      </c>
      <c r="B624" s="149" t="s">
        <v>1311</v>
      </c>
      <c r="C624" s="149">
        <v>2623</v>
      </c>
      <c r="D624" s="149" t="s">
        <v>2218</v>
      </c>
      <c r="E624" s="149" t="s">
        <v>2219</v>
      </c>
      <c r="F624" s="149" t="s">
        <v>267</v>
      </c>
      <c r="G624" s="149" t="s">
        <v>143</v>
      </c>
      <c r="H624" s="151" t="str">
        <f t="shared" si="46"/>
        <v>1995/05/01</v>
      </c>
      <c r="I624" s="149" t="s">
        <v>269</v>
      </c>
      <c r="J624" s="149" t="s">
        <v>538</v>
      </c>
      <c r="K624" s="101" t="str">
        <f t="shared" si="47"/>
        <v>95</v>
      </c>
      <c r="L624" s="101" t="str">
        <f t="shared" si="48"/>
        <v>05</v>
      </c>
      <c r="M624" s="101" t="str">
        <f t="shared" si="49"/>
        <v>01</v>
      </c>
    </row>
    <row r="625" spans="1:13">
      <c r="A625" t="str">
        <f t="shared" si="45"/>
        <v>山口大学2624男</v>
      </c>
      <c r="B625" s="149" t="s">
        <v>1311</v>
      </c>
      <c r="C625" s="149">
        <v>2624</v>
      </c>
      <c r="D625" s="149" t="s">
        <v>2220</v>
      </c>
      <c r="E625" s="149" t="s">
        <v>2221</v>
      </c>
      <c r="F625" s="149" t="s">
        <v>267</v>
      </c>
      <c r="G625" s="149" t="s">
        <v>143</v>
      </c>
      <c r="H625" s="151" t="str">
        <f t="shared" si="46"/>
        <v>1995/10/18</v>
      </c>
      <c r="I625" s="149" t="s">
        <v>269</v>
      </c>
      <c r="J625" s="149" t="s">
        <v>493</v>
      </c>
      <c r="K625" s="101" t="str">
        <f t="shared" si="47"/>
        <v>95</v>
      </c>
      <c r="L625" s="101" t="str">
        <f t="shared" si="48"/>
        <v>10</v>
      </c>
      <c r="M625" s="101" t="str">
        <f t="shared" si="49"/>
        <v>18</v>
      </c>
    </row>
    <row r="626" spans="1:13">
      <c r="A626" t="str">
        <f t="shared" si="45"/>
        <v>山口大学2625男</v>
      </c>
      <c r="B626" s="149" t="s">
        <v>1311</v>
      </c>
      <c r="C626" s="149">
        <v>2625</v>
      </c>
      <c r="D626" s="149" t="s">
        <v>2222</v>
      </c>
      <c r="E626" s="149" t="s">
        <v>2223</v>
      </c>
      <c r="F626" s="149" t="s">
        <v>267</v>
      </c>
      <c r="G626" s="149" t="s">
        <v>143</v>
      </c>
      <c r="H626" s="151" t="str">
        <f t="shared" si="46"/>
        <v>1995/09/13</v>
      </c>
      <c r="I626" s="149" t="s">
        <v>269</v>
      </c>
      <c r="J626" s="149" t="s">
        <v>911</v>
      </c>
      <c r="K626" s="101" t="str">
        <f t="shared" si="47"/>
        <v>95</v>
      </c>
      <c r="L626" s="101" t="str">
        <f t="shared" si="48"/>
        <v>09</v>
      </c>
      <c r="M626" s="101" t="str">
        <f t="shared" si="49"/>
        <v>13</v>
      </c>
    </row>
    <row r="627" spans="1:13">
      <c r="A627" t="str">
        <f t="shared" si="45"/>
        <v>山口大学2626男</v>
      </c>
      <c r="B627" s="149" t="s">
        <v>1311</v>
      </c>
      <c r="C627" s="149">
        <v>2626</v>
      </c>
      <c r="D627" s="149" t="s">
        <v>2224</v>
      </c>
      <c r="E627" s="149" t="s">
        <v>2225</v>
      </c>
      <c r="F627" s="149" t="s">
        <v>267</v>
      </c>
      <c r="G627" s="149" t="s">
        <v>143</v>
      </c>
      <c r="H627" s="151" t="str">
        <f t="shared" si="46"/>
        <v>1995/09/03</v>
      </c>
      <c r="I627" s="149" t="s">
        <v>269</v>
      </c>
      <c r="J627" s="149" t="s">
        <v>857</v>
      </c>
      <c r="K627" s="101" t="str">
        <f t="shared" si="47"/>
        <v>95</v>
      </c>
      <c r="L627" s="101" t="str">
        <f t="shared" si="48"/>
        <v>09</v>
      </c>
      <c r="M627" s="101" t="str">
        <f t="shared" si="49"/>
        <v>03</v>
      </c>
    </row>
    <row r="628" spans="1:13">
      <c r="A628" t="str">
        <f t="shared" si="45"/>
        <v>山口大学2627男</v>
      </c>
      <c r="B628" s="149" t="s">
        <v>1311</v>
      </c>
      <c r="C628" s="149">
        <v>2627</v>
      </c>
      <c r="D628" s="149" t="s">
        <v>2226</v>
      </c>
      <c r="E628" s="149" t="s">
        <v>2227</v>
      </c>
      <c r="F628" s="149" t="s">
        <v>267</v>
      </c>
      <c r="G628" s="149" t="s">
        <v>143</v>
      </c>
      <c r="H628" s="151" t="str">
        <f t="shared" si="46"/>
        <v>1995/07/02</v>
      </c>
      <c r="I628" s="149" t="s">
        <v>269</v>
      </c>
      <c r="J628" s="149" t="s">
        <v>3840</v>
      </c>
      <c r="K628" s="101" t="str">
        <f t="shared" si="47"/>
        <v>95</v>
      </c>
      <c r="L628" s="101" t="str">
        <f t="shared" si="48"/>
        <v>07</v>
      </c>
      <c r="M628" s="101" t="str">
        <f t="shared" si="49"/>
        <v>02</v>
      </c>
    </row>
    <row r="629" spans="1:13">
      <c r="A629" t="str">
        <f t="shared" si="45"/>
        <v>山口大学2628男</v>
      </c>
      <c r="B629" s="149" t="s">
        <v>1311</v>
      </c>
      <c r="C629" s="149">
        <v>2628</v>
      </c>
      <c r="D629" s="149" t="s">
        <v>2228</v>
      </c>
      <c r="E629" s="149" t="s">
        <v>2229</v>
      </c>
      <c r="F629" s="149" t="s">
        <v>267</v>
      </c>
      <c r="G629" s="149" t="s">
        <v>143</v>
      </c>
      <c r="H629" s="151" t="str">
        <f t="shared" si="46"/>
        <v>1994/07/30</v>
      </c>
      <c r="I629" s="149" t="s">
        <v>269</v>
      </c>
      <c r="J629" s="149" t="s">
        <v>641</v>
      </c>
      <c r="K629" s="101" t="str">
        <f t="shared" si="47"/>
        <v>94</v>
      </c>
      <c r="L629" s="101" t="str">
        <f t="shared" si="48"/>
        <v>07</v>
      </c>
      <c r="M629" s="101" t="str">
        <f t="shared" si="49"/>
        <v>30</v>
      </c>
    </row>
    <row r="630" spans="1:13">
      <c r="A630" t="str">
        <f t="shared" si="45"/>
        <v>山口大学2629男</v>
      </c>
      <c r="B630" s="149" t="s">
        <v>1311</v>
      </c>
      <c r="C630" s="149">
        <v>2629</v>
      </c>
      <c r="D630" s="149" t="s">
        <v>2230</v>
      </c>
      <c r="E630" s="149" t="s">
        <v>2231</v>
      </c>
      <c r="F630" s="149" t="s">
        <v>267</v>
      </c>
      <c r="G630" s="149" t="s">
        <v>143</v>
      </c>
      <c r="H630" s="151" t="str">
        <f t="shared" si="46"/>
        <v>1995/04/04</v>
      </c>
      <c r="I630" s="149" t="s">
        <v>269</v>
      </c>
      <c r="J630" s="149" t="s">
        <v>409</v>
      </c>
      <c r="K630" s="101" t="str">
        <f t="shared" si="47"/>
        <v>95</v>
      </c>
      <c r="L630" s="101" t="str">
        <f t="shared" si="48"/>
        <v>04</v>
      </c>
      <c r="M630" s="101" t="str">
        <f t="shared" si="49"/>
        <v>04</v>
      </c>
    </row>
    <row r="631" spans="1:13">
      <c r="A631" t="str">
        <f t="shared" si="45"/>
        <v>山口大学2630男</v>
      </c>
      <c r="B631" s="149" t="s">
        <v>1311</v>
      </c>
      <c r="C631" s="149">
        <v>2630</v>
      </c>
      <c r="D631" s="149" t="s">
        <v>2232</v>
      </c>
      <c r="E631" s="149" t="s">
        <v>2233</v>
      </c>
      <c r="F631" s="149" t="s">
        <v>267</v>
      </c>
      <c r="G631" s="149" t="s">
        <v>143</v>
      </c>
      <c r="H631" s="151" t="str">
        <f t="shared" si="46"/>
        <v>1995/12/09</v>
      </c>
      <c r="I631" s="149" t="s">
        <v>269</v>
      </c>
      <c r="J631" s="149" t="s">
        <v>3841</v>
      </c>
      <c r="K631" s="101" t="str">
        <f t="shared" si="47"/>
        <v>95</v>
      </c>
      <c r="L631" s="101" t="str">
        <f t="shared" si="48"/>
        <v>12</v>
      </c>
      <c r="M631" s="101" t="str">
        <f t="shared" si="49"/>
        <v>09</v>
      </c>
    </row>
    <row r="632" spans="1:13">
      <c r="A632" t="str">
        <f t="shared" si="45"/>
        <v>山口大学2631男</v>
      </c>
      <c r="B632" s="149" t="s">
        <v>1311</v>
      </c>
      <c r="C632" s="149">
        <v>2631</v>
      </c>
      <c r="D632" s="149" t="s">
        <v>2234</v>
      </c>
      <c r="E632" s="149" t="s">
        <v>2235</v>
      </c>
      <c r="F632" s="149" t="s">
        <v>267</v>
      </c>
      <c r="G632" s="149" t="s">
        <v>143</v>
      </c>
      <c r="H632" s="151" t="str">
        <f t="shared" si="46"/>
        <v>1995/05/22</v>
      </c>
      <c r="I632" s="149" t="s">
        <v>269</v>
      </c>
      <c r="J632" s="149" t="s">
        <v>511</v>
      </c>
      <c r="K632" s="101" t="str">
        <f t="shared" si="47"/>
        <v>95</v>
      </c>
      <c r="L632" s="101" t="str">
        <f t="shared" si="48"/>
        <v>05</v>
      </c>
      <c r="M632" s="101" t="str">
        <f t="shared" si="49"/>
        <v>22</v>
      </c>
    </row>
    <row r="633" spans="1:13">
      <c r="A633" t="str">
        <f t="shared" si="45"/>
        <v>山口大学2632男</v>
      </c>
      <c r="B633" s="149" t="s">
        <v>1311</v>
      </c>
      <c r="C633" s="149">
        <v>2632</v>
      </c>
      <c r="D633" s="149" t="s">
        <v>2236</v>
      </c>
      <c r="E633" s="149" t="s">
        <v>2237</v>
      </c>
      <c r="F633" s="149" t="s">
        <v>267</v>
      </c>
      <c r="G633" s="149" t="s">
        <v>143</v>
      </c>
      <c r="H633" s="151" t="str">
        <f t="shared" si="46"/>
        <v>1995/04/26</v>
      </c>
      <c r="I633" s="149" t="s">
        <v>269</v>
      </c>
      <c r="J633" s="149" t="s">
        <v>3842</v>
      </c>
      <c r="K633" s="101" t="str">
        <f t="shared" si="47"/>
        <v>95</v>
      </c>
      <c r="L633" s="101" t="str">
        <f t="shared" si="48"/>
        <v>04</v>
      </c>
      <c r="M633" s="101" t="str">
        <f t="shared" si="49"/>
        <v>26</v>
      </c>
    </row>
    <row r="634" spans="1:13">
      <c r="A634" t="str">
        <f t="shared" si="45"/>
        <v>山口大学2633男</v>
      </c>
      <c r="B634" s="149" t="s">
        <v>1311</v>
      </c>
      <c r="C634" s="149">
        <v>2633</v>
      </c>
      <c r="D634" s="149" t="s">
        <v>2238</v>
      </c>
      <c r="E634" s="149" t="s">
        <v>2239</v>
      </c>
      <c r="F634" s="149" t="s">
        <v>267</v>
      </c>
      <c r="G634" s="149" t="s">
        <v>143</v>
      </c>
      <c r="H634" s="151" t="str">
        <f t="shared" si="46"/>
        <v>1995/05/06</v>
      </c>
      <c r="I634" s="149" t="s">
        <v>269</v>
      </c>
      <c r="J634" s="149" t="s">
        <v>484</v>
      </c>
      <c r="K634" s="101" t="str">
        <f t="shared" si="47"/>
        <v>95</v>
      </c>
      <c r="L634" s="101" t="str">
        <f t="shared" si="48"/>
        <v>05</v>
      </c>
      <c r="M634" s="101" t="str">
        <f t="shared" si="49"/>
        <v>06</v>
      </c>
    </row>
    <row r="635" spans="1:13">
      <c r="A635" t="str">
        <f t="shared" si="45"/>
        <v>山口大学2634男</v>
      </c>
      <c r="B635" s="149" t="s">
        <v>1311</v>
      </c>
      <c r="C635" s="149">
        <v>2634</v>
      </c>
      <c r="D635" s="149" t="s">
        <v>2240</v>
      </c>
      <c r="E635" s="149" t="s">
        <v>2241</v>
      </c>
      <c r="F635" s="149" t="s">
        <v>267</v>
      </c>
      <c r="G635" s="149" t="s">
        <v>143</v>
      </c>
      <c r="H635" s="151" t="str">
        <f t="shared" si="46"/>
        <v>1995/07/14</v>
      </c>
      <c r="I635" s="149" t="s">
        <v>269</v>
      </c>
      <c r="J635" s="149" t="s">
        <v>3638</v>
      </c>
      <c r="K635" s="101" t="str">
        <f t="shared" si="47"/>
        <v>95</v>
      </c>
      <c r="L635" s="101" t="str">
        <f t="shared" si="48"/>
        <v>07</v>
      </c>
      <c r="M635" s="101" t="str">
        <f t="shared" si="49"/>
        <v>14</v>
      </c>
    </row>
    <row r="636" spans="1:13">
      <c r="A636" t="str">
        <f t="shared" si="45"/>
        <v>山口大学2635男</v>
      </c>
      <c r="B636" s="149" t="s">
        <v>1311</v>
      </c>
      <c r="C636" s="149">
        <v>2635</v>
      </c>
      <c r="D636" s="149" t="s">
        <v>2242</v>
      </c>
      <c r="E636" s="149" t="s">
        <v>2243</v>
      </c>
      <c r="F636" s="149" t="s">
        <v>267</v>
      </c>
      <c r="G636" s="149" t="s">
        <v>143</v>
      </c>
      <c r="H636" s="151" t="str">
        <f t="shared" si="46"/>
        <v>1994/06/11</v>
      </c>
      <c r="I636" s="149" t="s">
        <v>269</v>
      </c>
      <c r="J636" s="149" t="s">
        <v>3820</v>
      </c>
      <c r="K636" s="101" t="str">
        <f t="shared" si="47"/>
        <v>94</v>
      </c>
      <c r="L636" s="101" t="str">
        <f t="shared" si="48"/>
        <v>06</v>
      </c>
      <c r="M636" s="101" t="str">
        <f t="shared" si="49"/>
        <v>11</v>
      </c>
    </row>
    <row r="637" spans="1:13">
      <c r="A637" t="str">
        <f t="shared" si="45"/>
        <v>山口大学2636男</v>
      </c>
      <c r="B637" s="149" t="s">
        <v>1311</v>
      </c>
      <c r="C637" s="149">
        <v>2636</v>
      </c>
      <c r="D637" s="149" t="s">
        <v>2244</v>
      </c>
      <c r="E637" s="149" t="s">
        <v>2245</v>
      </c>
      <c r="F637" s="149" t="s">
        <v>267</v>
      </c>
      <c r="G637" s="149" t="s">
        <v>143</v>
      </c>
      <c r="H637" s="151" t="str">
        <f t="shared" si="46"/>
        <v>1995/05/31</v>
      </c>
      <c r="I637" s="149" t="s">
        <v>269</v>
      </c>
      <c r="J637" s="149" t="s">
        <v>411</v>
      </c>
      <c r="K637" s="101" t="str">
        <f t="shared" si="47"/>
        <v>95</v>
      </c>
      <c r="L637" s="101" t="str">
        <f t="shared" si="48"/>
        <v>05</v>
      </c>
      <c r="M637" s="101" t="str">
        <f t="shared" si="49"/>
        <v>31</v>
      </c>
    </row>
    <row r="638" spans="1:13">
      <c r="A638" t="str">
        <f t="shared" si="45"/>
        <v>山口大学2637男</v>
      </c>
      <c r="B638" s="149" t="s">
        <v>1311</v>
      </c>
      <c r="C638" s="149">
        <v>2637</v>
      </c>
      <c r="D638" s="149" t="s">
        <v>2246</v>
      </c>
      <c r="E638" s="149" t="s">
        <v>2247</v>
      </c>
      <c r="F638" s="149" t="s">
        <v>267</v>
      </c>
      <c r="G638" s="149" t="s">
        <v>143</v>
      </c>
      <c r="H638" s="151" t="str">
        <f t="shared" si="46"/>
        <v>1994/05/10</v>
      </c>
      <c r="I638" s="149" t="s">
        <v>269</v>
      </c>
      <c r="J638" s="149" t="s">
        <v>474</v>
      </c>
      <c r="K638" s="101" t="str">
        <f t="shared" si="47"/>
        <v>94</v>
      </c>
      <c r="L638" s="101" t="str">
        <f t="shared" si="48"/>
        <v>05</v>
      </c>
      <c r="M638" s="101" t="str">
        <f t="shared" si="49"/>
        <v>10</v>
      </c>
    </row>
    <row r="639" spans="1:13">
      <c r="A639" t="str">
        <f t="shared" si="45"/>
        <v>山口大学2638男</v>
      </c>
      <c r="B639" s="149" t="s">
        <v>1311</v>
      </c>
      <c r="C639" s="149">
        <v>2638</v>
      </c>
      <c r="D639" s="149" t="s">
        <v>2248</v>
      </c>
      <c r="E639" s="149" t="s">
        <v>2249</v>
      </c>
      <c r="F639" s="149" t="s">
        <v>267</v>
      </c>
      <c r="G639" s="149" t="s">
        <v>143</v>
      </c>
      <c r="H639" s="151" t="str">
        <f t="shared" si="46"/>
        <v>1995/05/12</v>
      </c>
      <c r="I639" s="149" t="s">
        <v>269</v>
      </c>
      <c r="J639" s="149" t="s">
        <v>900</v>
      </c>
      <c r="K639" s="101" t="str">
        <f t="shared" si="47"/>
        <v>95</v>
      </c>
      <c r="L639" s="101" t="str">
        <f t="shared" si="48"/>
        <v>05</v>
      </c>
      <c r="M639" s="101" t="str">
        <f t="shared" si="49"/>
        <v>12</v>
      </c>
    </row>
    <row r="640" spans="1:13">
      <c r="A640" t="str">
        <f t="shared" si="45"/>
        <v>山口大学2639男</v>
      </c>
      <c r="B640" s="149" t="s">
        <v>1311</v>
      </c>
      <c r="C640" s="149">
        <v>2639</v>
      </c>
      <c r="D640" s="149" t="s">
        <v>2250</v>
      </c>
      <c r="E640" s="149" t="s">
        <v>2251</v>
      </c>
      <c r="F640" s="149" t="s">
        <v>265</v>
      </c>
      <c r="G640" s="149" t="s">
        <v>143</v>
      </c>
      <c r="H640" s="151" t="str">
        <f t="shared" si="46"/>
        <v>1994/06/30</v>
      </c>
      <c r="I640" s="149" t="s">
        <v>295</v>
      </c>
      <c r="J640" s="149" t="s">
        <v>3697</v>
      </c>
      <c r="K640" s="101" t="str">
        <f t="shared" si="47"/>
        <v>94</v>
      </c>
      <c r="L640" s="101" t="str">
        <f t="shared" si="48"/>
        <v>06</v>
      </c>
      <c r="M640" s="101" t="str">
        <f t="shared" si="49"/>
        <v>30</v>
      </c>
    </row>
    <row r="641" spans="1:13">
      <c r="A641" t="str">
        <f t="shared" si="45"/>
        <v>山口大学2640男</v>
      </c>
      <c r="B641" s="149" t="s">
        <v>1311</v>
      </c>
      <c r="C641" s="149">
        <v>2640</v>
      </c>
      <c r="D641" s="149" t="s">
        <v>2252</v>
      </c>
      <c r="E641" s="149" t="s">
        <v>2253</v>
      </c>
      <c r="F641" s="149" t="s">
        <v>265</v>
      </c>
      <c r="G641" s="149" t="s">
        <v>143</v>
      </c>
      <c r="H641" s="151" t="str">
        <f t="shared" si="46"/>
        <v>1994/08/23</v>
      </c>
      <c r="I641" s="149" t="s">
        <v>269</v>
      </c>
      <c r="J641" s="149" t="s">
        <v>3843</v>
      </c>
      <c r="K641" s="101" t="str">
        <f t="shared" si="47"/>
        <v>94</v>
      </c>
      <c r="L641" s="101" t="str">
        <f t="shared" si="48"/>
        <v>08</v>
      </c>
      <c r="M641" s="101" t="str">
        <f t="shared" si="49"/>
        <v>23</v>
      </c>
    </row>
    <row r="642" spans="1:13">
      <c r="A642" t="str">
        <f t="shared" ref="A642:A705" si="50">B642&amp;C642&amp;G642</f>
        <v>山口大学2641男</v>
      </c>
      <c r="B642" s="149" t="s">
        <v>1311</v>
      </c>
      <c r="C642" s="149">
        <v>2641</v>
      </c>
      <c r="D642" s="149" t="s">
        <v>2254</v>
      </c>
      <c r="E642" s="149" t="s">
        <v>2255</v>
      </c>
      <c r="F642" s="149" t="s">
        <v>265</v>
      </c>
      <c r="G642" s="149" t="s">
        <v>143</v>
      </c>
      <c r="H642" s="151" t="str">
        <f t="shared" si="46"/>
        <v>1994/11/26</v>
      </c>
      <c r="I642" s="149" t="s">
        <v>303</v>
      </c>
      <c r="J642" s="149" t="s">
        <v>640</v>
      </c>
      <c r="K642" s="101" t="str">
        <f t="shared" si="47"/>
        <v>94</v>
      </c>
      <c r="L642" s="101" t="str">
        <f t="shared" si="48"/>
        <v>11</v>
      </c>
      <c r="M642" s="101" t="str">
        <f t="shared" si="49"/>
        <v>26</v>
      </c>
    </row>
    <row r="643" spans="1:13">
      <c r="A643" t="str">
        <f t="shared" si="50"/>
        <v>山口大学2642男</v>
      </c>
      <c r="B643" s="149" t="s">
        <v>1311</v>
      </c>
      <c r="C643" s="149">
        <v>2642</v>
      </c>
      <c r="D643" s="149" t="s">
        <v>2256</v>
      </c>
      <c r="E643" s="149" t="s">
        <v>2257</v>
      </c>
      <c r="F643" s="149" t="s">
        <v>265</v>
      </c>
      <c r="G643" s="149" t="s">
        <v>143</v>
      </c>
      <c r="H643" s="151" t="str">
        <f t="shared" ref="H643:H706" si="51">"19"&amp;K643&amp;"/"&amp;L643&amp;"/"&amp;M643</f>
        <v>1994/11/28</v>
      </c>
      <c r="I643" s="149" t="s">
        <v>269</v>
      </c>
      <c r="J643" s="149" t="s">
        <v>3844</v>
      </c>
      <c r="K643" s="101" t="str">
        <f t="shared" ref="K643:K706" si="52">MID(J643,1,2)</f>
        <v>94</v>
      </c>
      <c r="L643" s="101" t="str">
        <f t="shared" ref="L643:L706" si="53">MID(J643,3,2)</f>
        <v>11</v>
      </c>
      <c r="M643" s="101" t="str">
        <f t="shared" ref="M643:M706" si="54">MID(J643,5,2)</f>
        <v>28</v>
      </c>
    </row>
    <row r="644" spans="1:13">
      <c r="A644" t="str">
        <f t="shared" si="50"/>
        <v>山口大学2643男</v>
      </c>
      <c r="B644" s="149" t="s">
        <v>1311</v>
      </c>
      <c r="C644" s="149">
        <v>2643</v>
      </c>
      <c r="D644" s="149" t="s">
        <v>2258</v>
      </c>
      <c r="E644" s="149" t="s">
        <v>2259</v>
      </c>
      <c r="F644" s="149" t="s">
        <v>260</v>
      </c>
      <c r="G644" s="149" t="s">
        <v>143</v>
      </c>
      <c r="H644" s="151" t="str">
        <f t="shared" si="51"/>
        <v>1993/05/28</v>
      </c>
      <c r="I644" s="149" t="s">
        <v>269</v>
      </c>
      <c r="J644" s="149" t="s">
        <v>558</v>
      </c>
      <c r="K644" s="101" t="str">
        <f t="shared" si="52"/>
        <v>93</v>
      </c>
      <c r="L644" s="101" t="str">
        <f t="shared" si="53"/>
        <v>05</v>
      </c>
      <c r="M644" s="101" t="str">
        <f t="shared" si="54"/>
        <v>28</v>
      </c>
    </row>
    <row r="645" spans="1:13">
      <c r="A645" t="str">
        <f t="shared" si="50"/>
        <v>山口大学2644男</v>
      </c>
      <c r="B645" s="149" t="s">
        <v>1311</v>
      </c>
      <c r="C645" s="149">
        <v>2644</v>
      </c>
      <c r="D645" s="149" t="s">
        <v>2260</v>
      </c>
      <c r="E645" s="149" t="s">
        <v>2261</v>
      </c>
      <c r="F645" s="149" t="s">
        <v>260</v>
      </c>
      <c r="G645" s="149" t="s">
        <v>143</v>
      </c>
      <c r="H645" s="151" t="str">
        <f t="shared" si="51"/>
        <v>1994/02/14</v>
      </c>
      <c r="I645" s="149" t="s">
        <v>269</v>
      </c>
      <c r="J645" s="149" t="s">
        <v>326</v>
      </c>
      <c r="K645" s="101" t="str">
        <f t="shared" si="52"/>
        <v>94</v>
      </c>
      <c r="L645" s="101" t="str">
        <f t="shared" si="53"/>
        <v>02</v>
      </c>
      <c r="M645" s="101" t="str">
        <f t="shared" si="54"/>
        <v>14</v>
      </c>
    </row>
    <row r="646" spans="1:13">
      <c r="A646" t="str">
        <f t="shared" si="50"/>
        <v>山口大学2645男</v>
      </c>
      <c r="B646" s="149" t="s">
        <v>1311</v>
      </c>
      <c r="C646" s="149">
        <v>2645</v>
      </c>
      <c r="D646" s="149" t="s">
        <v>2262</v>
      </c>
      <c r="E646" s="149" t="s">
        <v>2263</v>
      </c>
      <c r="F646" s="149" t="s">
        <v>260</v>
      </c>
      <c r="G646" s="149" t="s">
        <v>143</v>
      </c>
      <c r="H646" s="151" t="str">
        <f t="shared" si="51"/>
        <v>1993/09/28</v>
      </c>
      <c r="I646" s="149" t="s">
        <v>269</v>
      </c>
      <c r="J646" s="149" t="s">
        <v>3845</v>
      </c>
      <c r="K646" s="101" t="str">
        <f t="shared" si="52"/>
        <v>93</v>
      </c>
      <c r="L646" s="101" t="str">
        <f t="shared" si="53"/>
        <v>09</v>
      </c>
      <c r="M646" s="101" t="str">
        <f t="shared" si="54"/>
        <v>28</v>
      </c>
    </row>
    <row r="647" spans="1:13">
      <c r="A647" t="str">
        <f t="shared" si="50"/>
        <v>山口大学2646男</v>
      </c>
      <c r="B647" s="149" t="s">
        <v>1311</v>
      </c>
      <c r="C647" s="149">
        <v>2646</v>
      </c>
      <c r="D647" s="149" t="s">
        <v>285</v>
      </c>
      <c r="E647" s="149" t="s">
        <v>1901</v>
      </c>
      <c r="F647" s="149" t="s">
        <v>260</v>
      </c>
      <c r="G647" s="149" t="s">
        <v>143</v>
      </c>
      <c r="H647" s="151" t="str">
        <f t="shared" si="51"/>
        <v>1993/10/26</v>
      </c>
      <c r="I647" s="149" t="s">
        <v>277</v>
      </c>
      <c r="J647" s="149" t="s">
        <v>886</v>
      </c>
      <c r="K647" s="101" t="str">
        <f t="shared" si="52"/>
        <v>93</v>
      </c>
      <c r="L647" s="101" t="str">
        <f t="shared" si="53"/>
        <v>10</v>
      </c>
      <c r="M647" s="101" t="str">
        <f t="shared" si="54"/>
        <v>26</v>
      </c>
    </row>
    <row r="648" spans="1:13">
      <c r="A648" t="str">
        <f t="shared" si="50"/>
        <v>山口大学2647男</v>
      </c>
      <c r="B648" s="149" t="s">
        <v>1311</v>
      </c>
      <c r="C648" s="149">
        <v>2647</v>
      </c>
      <c r="D648" s="149" t="s">
        <v>2264</v>
      </c>
      <c r="E648" s="149" t="s">
        <v>2265</v>
      </c>
      <c r="F648" s="149" t="s">
        <v>260</v>
      </c>
      <c r="G648" s="149" t="s">
        <v>143</v>
      </c>
      <c r="H648" s="151" t="str">
        <f t="shared" si="51"/>
        <v>1993/05/17</v>
      </c>
      <c r="I648" s="149" t="s">
        <v>269</v>
      </c>
      <c r="J648" s="149" t="s">
        <v>547</v>
      </c>
      <c r="K648" s="101" t="str">
        <f t="shared" si="52"/>
        <v>93</v>
      </c>
      <c r="L648" s="101" t="str">
        <f t="shared" si="53"/>
        <v>05</v>
      </c>
      <c r="M648" s="101" t="str">
        <f t="shared" si="54"/>
        <v>17</v>
      </c>
    </row>
    <row r="649" spans="1:13">
      <c r="A649" t="str">
        <f t="shared" si="50"/>
        <v>山口大学2648男</v>
      </c>
      <c r="B649" s="149" t="s">
        <v>1311</v>
      </c>
      <c r="C649" s="149">
        <v>2648</v>
      </c>
      <c r="D649" s="149" t="s">
        <v>2266</v>
      </c>
      <c r="E649" s="149" t="s">
        <v>2267</v>
      </c>
      <c r="F649" s="149" t="s">
        <v>260</v>
      </c>
      <c r="G649" s="149" t="s">
        <v>143</v>
      </c>
      <c r="H649" s="151" t="str">
        <f t="shared" si="51"/>
        <v>1993/08/25</v>
      </c>
      <c r="I649" s="149" t="s">
        <v>269</v>
      </c>
      <c r="J649" s="149" t="s">
        <v>3846</v>
      </c>
      <c r="K649" s="101" t="str">
        <f t="shared" si="52"/>
        <v>93</v>
      </c>
      <c r="L649" s="101" t="str">
        <f t="shared" si="53"/>
        <v>08</v>
      </c>
      <c r="M649" s="101" t="str">
        <f t="shared" si="54"/>
        <v>25</v>
      </c>
    </row>
    <row r="650" spans="1:13">
      <c r="A650" t="str">
        <f t="shared" si="50"/>
        <v>山口大学2649男</v>
      </c>
      <c r="B650" s="149" t="s">
        <v>1311</v>
      </c>
      <c r="C650" s="149">
        <v>2649</v>
      </c>
      <c r="D650" s="149" t="s">
        <v>2268</v>
      </c>
      <c r="E650" s="149" t="s">
        <v>2269</v>
      </c>
      <c r="F650" s="149" t="s">
        <v>260</v>
      </c>
      <c r="G650" s="149" t="s">
        <v>143</v>
      </c>
      <c r="H650" s="151" t="str">
        <f t="shared" si="51"/>
        <v>1993/07/29</v>
      </c>
      <c r="I650" s="149" t="s">
        <v>290</v>
      </c>
      <c r="J650" s="149" t="s">
        <v>3704</v>
      </c>
      <c r="K650" s="101" t="str">
        <f t="shared" si="52"/>
        <v>93</v>
      </c>
      <c r="L650" s="101" t="str">
        <f t="shared" si="53"/>
        <v>07</v>
      </c>
      <c r="M650" s="101" t="str">
        <f t="shared" si="54"/>
        <v>29</v>
      </c>
    </row>
    <row r="651" spans="1:13">
      <c r="A651" t="str">
        <f t="shared" si="50"/>
        <v>山口大学2650男</v>
      </c>
      <c r="B651" s="149" t="s">
        <v>1311</v>
      </c>
      <c r="C651" s="149">
        <v>2650</v>
      </c>
      <c r="D651" s="149" t="s">
        <v>2270</v>
      </c>
      <c r="E651" s="149" t="s">
        <v>2271</v>
      </c>
      <c r="F651" s="149" t="s">
        <v>260</v>
      </c>
      <c r="G651" s="149" t="s">
        <v>143</v>
      </c>
      <c r="H651" s="151" t="str">
        <f t="shared" si="51"/>
        <v>1992/05/09</v>
      </c>
      <c r="I651" s="149" t="s">
        <v>269</v>
      </c>
      <c r="J651" s="149" t="s">
        <v>393</v>
      </c>
      <c r="K651" s="101" t="str">
        <f t="shared" si="52"/>
        <v>92</v>
      </c>
      <c r="L651" s="101" t="str">
        <f t="shared" si="53"/>
        <v>05</v>
      </c>
      <c r="M651" s="101" t="str">
        <f t="shared" si="54"/>
        <v>09</v>
      </c>
    </row>
    <row r="652" spans="1:13">
      <c r="A652" t="str">
        <f t="shared" si="50"/>
        <v>山口大学2651男</v>
      </c>
      <c r="B652" s="149" t="s">
        <v>1311</v>
      </c>
      <c r="C652" s="149">
        <v>2651</v>
      </c>
      <c r="D652" s="149" t="s">
        <v>2272</v>
      </c>
      <c r="E652" s="149" t="s">
        <v>2273</v>
      </c>
      <c r="F652" s="149" t="s">
        <v>260</v>
      </c>
      <c r="G652" s="149" t="s">
        <v>143</v>
      </c>
      <c r="H652" s="151" t="str">
        <f t="shared" si="51"/>
        <v>1993/12/02</v>
      </c>
      <c r="I652" s="149" t="s">
        <v>269</v>
      </c>
      <c r="J652" s="149" t="s">
        <v>561</v>
      </c>
      <c r="K652" s="101" t="str">
        <f t="shared" si="52"/>
        <v>93</v>
      </c>
      <c r="L652" s="101" t="str">
        <f t="shared" si="53"/>
        <v>12</v>
      </c>
      <c r="M652" s="101" t="str">
        <f t="shared" si="54"/>
        <v>02</v>
      </c>
    </row>
    <row r="653" spans="1:13">
      <c r="A653" t="str">
        <f t="shared" si="50"/>
        <v>山口大学2652男</v>
      </c>
      <c r="B653" s="149" t="s">
        <v>1311</v>
      </c>
      <c r="C653" s="149">
        <v>2652</v>
      </c>
      <c r="D653" s="149" t="s">
        <v>2274</v>
      </c>
      <c r="E653" s="149" t="s">
        <v>2275</v>
      </c>
      <c r="F653" s="149" t="s">
        <v>293</v>
      </c>
      <c r="G653" s="149" t="s">
        <v>143</v>
      </c>
      <c r="H653" s="151" t="str">
        <f t="shared" si="51"/>
        <v>1988/09/05</v>
      </c>
      <c r="I653" s="149" t="s">
        <v>269</v>
      </c>
      <c r="J653" s="149" t="s">
        <v>3847</v>
      </c>
      <c r="K653" s="101" t="str">
        <f t="shared" si="52"/>
        <v>88</v>
      </c>
      <c r="L653" s="101" t="str">
        <f t="shared" si="53"/>
        <v>09</v>
      </c>
      <c r="M653" s="101" t="str">
        <f t="shared" si="54"/>
        <v>05</v>
      </c>
    </row>
    <row r="654" spans="1:13">
      <c r="A654" t="str">
        <f t="shared" si="50"/>
        <v>倉敷芸術科学大学2653男</v>
      </c>
      <c r="B654" s="149" t="s">
        <v>1119</v>
      </c>
      <c r="C654" s="149">
        <v>2653</v>
      </c>
      <c r="D654" s="149" t="s">
        <v>2276</v>
      </c>
      <c r="E654" s="149" t="s">
        <v>2277</v>
      </c>
      <c r="F654" s="149" t="s">
        <v>265</v>
      </c>
      <c r="G654" s="149" t="s">
        <v>143</v>
      </c>
      <c r="H654" s="151" t="str">
        <f t="shared" si="51"/>
        <v>1994/06/07</v>
      </c>
      <c r="I654" s="149" t="s">
        <v>299</v>
      </c>
      <c r="J654" s="149" t="s">
        <v>529</v>
      </c>
      <c r="K654" s="101" t="str">
        <f t="shared" si="52"/>
        <v>94</v>
      </c>
      <c r="L654" s="101" t="str">
        <f t="shared" si="53"/>
        <v>06</v>
      </c>
      <c r="M654" s="101" t="str">
        <f t="shared" si="54"/>
        <v>07</v>
      </c>
    </row>
    <row r="655" spans="1:13">
      <c r="A655" t="str">
        <f t="shared" si="50"/>
        <v>福山平成大学2654男</v>
      </c>
      <c r="B655" s="149" t="s">
        <v>2030</v>
      </c>
      <c r="C655" s="149">
        <v>2654</v>
      </c>
      <c r="D655" s="149" t="s">
        <v>2278</v>
      </c>
      <c r="E655" s="149" t="s">
        <v>2279</v>
      </c>
      <c r="F655" s="149" t="s">
        <v>260</v>
      </c>
      <c r="G655" s="149" t="s">
        <v>143</v>
      </c>
      <c r="H655" s="151" t="str">
        <f t="shared" si="51"/>
        <v>1994/02/07</v>
      </c>
      <c r="I655" s="149" t="s">
        <v>299</v>
      </c>
      <c r="J655" s="149" t="s">
        <v>567</v>
      </c>
      <c r="K655" s="101" t="str">
        <f t="shared" si="52"/>
        <v>94</v>
      </c>
      <c r="L655" s="101" t="str">
        <f t="shared" si="53"/>
        <v>02</v>
      </c>
      <c r="M655" s="101" t="str">
        <f t="shared" si="54"/>
        <v>07</v>
      </c>
    </row>
    <row r="656" spans="1:13">
      <c r="A656" t="str">
        <f t="shared" si="50"/>
        <v>福山平成大学2655男</v>
      </c>
      <c r="B656" s="149" t="s">
        <v>2030</v>
      </c>
      <c r="C656" s="149">
        <v>2655</v>
      </c>
      <c r="D656" s="149" t="s">
        <v>2280</v>
      </c>
      <c r="E656" s="149" t="s">
        <v>2281</v>
      </c>
      <c r="F656" s="149" t="s">
        <v>260</v>
      </c>
      <c r="G656" s="149" t="s">
        <v>143</v>
      </c>
      <c r="H656" s="151" t="str">
        <f t="shared" si="51"/>
        <v>1993/04/08</v>
      </c>
      <c r="I656" s="149" t="s">
        <v>299</v>
      </c>
      <c r="J656" s="149" t="s">
        <v>507</v>
      </c>
      <c r="K656" s="101" t="str">
        <f t="shared" si="52"/>
        <v>93</v>
      </c>
      <c r="L656" s="101" t="str">
        <f t="shared" si="53"/>
        <v>04</v>
      </c>
      <c r="M656" s="101" t="str">
        <f t="shared" si="54"/>
        <v>08</v>
      </c>
    </row>
    <row r="657" spans="1:13">
      <c r="A657" t="str">
        <f t="shared" si="50"/>
        <v>福山平成大学2656男</v>
      </c>
      <c r="B657" s="149" t="s">
        <v>2030</v>
      </c>
      <c r="C657" s="149">
        <v>2656</v>
      </c>
      <c r="D657" s="149" t="s">
        <v>2282</v>
      </c>
      <c r="E657" s="149" t="s">
        <v>2283</v>
      </c>
      <c r="F657" s="149" t="s">
        <v>260</v>
      </c>
      <c r="G657" s="149" t="s">
        <v>143</v>
      </c>
      <c r="H657" s="151" t="str">
        <f t="shared" si="51"/>
        <v>1993/05/08</v>
      </c>
      <c r="I657" s="149" t="s">
        <v>299</v>
      </c>
      <c r="J657" s="149" t="s">
        <v>787</v>
      </c>
      <c r="K657" s="101" t="str">
        <f t="shared" si="52"/>
        <v>93</v>
      </c>
      <c r="L657" s="101" t="str">
        <f t="shared" si="53"/>
        <v>05</v>
      </c>
      <c r="M657" s="101" t="str">
        <f t="shared" si="54"/>
        <v>08</v>
      </c>
    </row>
    <row r="658" spans="1:13">
      <c r="A658" t="str">
        <f t="shared" si="50"/>
        <v>福山平成大学2657男</v>
      </c>
      <c r="B658" s="149" t="s">
        <v>2030</v>
      </c>
      <c r="C658" s="149">
        <v>2657</v>
      </c>
      <c r="D658" s="149" t="s">
        <v>2284</v>
      </c>
      <c r="E658" s="149" t="s">
        <v>2285</v>
      </c>
      <c r="F658" s="149" t="s">
        <v>260</v>
      </c>
      <c r="G658" s="149" t="s">
        <v>143</v>
      </c>
      <c r="H658" s="151" t="str">
        <f t="shared" si="51"/>
        <v>1993/08/31</v>
      </c>
      <c r="I658" s="149" t="s">
        <v>269</v>
      </c>
      <c r="J658" s="149" t="s">
        <v>564</v>
      </c>
      <c r="K658" s="101" t="str">
        <f t="shared" si="52"/>
        <v>93</v>
      </c>
      <c r="L658" s="101" t="str">
        <f t="shared" si="53"/>
        <v>08</v>
      </c>
      <c r="M658" s="101" t="str">
        <f t="shared" si="54"/>
        <v>31</v>
      </c>
    </row>
    <row r="659" spans="1:13">
      <c r="A659" t="str">
        <f t="shared" si="50"/>
        <v>福山平成大学2658男</v>
      </c>
      <c r="B659" s="149" t="s">
        <v>2030</v>
      </c>
      <c r="C659" s="149">
        <v>2658</v>
      </c>
      <c r="D659" s="149" t="s">
        <v>2286</v>
      </c>
      <c r="E659" s="149" t="s">
        <v>2287</v>
      </c>
      <c r="F659" s="149" t="s">
        <v>260</v>
      </c>
      <c r="G659" s="149" t="s">
        <v>143</v>
      </c>
      <c r="H659" s="151" t="str">
        <f t="shared" si="51"/>
        <v>1993/06/13</v>
      </c>
      <c r="I659" s="149" t="s">
        <v>299</v>
      </c>
      <c r="J659" s="149" t="s">
        <v>566</v>
      </c>
      <c r="K659" s="101" t="str">
        <f t="shared" si="52"/>
        <v>93</v>
      </c>
      <c r="L659" s="101" t="str">
        <f t="shared" si="53"/>
        <v>06</v>
      </c>
      <c r="M659" s="101" t="str">
        <f t="shared" si="54"/>
        <v>13</v>
      </c>
    </row>
    <row r="660" spans="1:13">
      <c r="A660" t="str">
        <f t="shared" si="50"/>
        <v>福山平成大学2659男</v>
      </c>
      <c r="B660" s="149" t="s">
        <v>2030</v>
      </c>
      <c r="C660" s="149">
        <v>2659</v>
      </c>
      <c r="D660" s="149" t="s">
        <v>2288</v>
      </c>
      <c r="E660" s="149" t="s">
        <v>2289</v>
      </c>
      <c r="F660" s="149" t="s">
        <v>260</v>
      </c>
      <c r="G660" s="149" t="s">
        <v>143</v>
      </c>
      <c r="H660" s="151" t="str">
        <f t="shared" si="51"/>
        <v>1993/06/16</v>
      </c>
      <c r="I660" s="149" t="s">
        <v>281</v>
      </c>
      <c r="J660" s="149" t="s">
        <v>554</v>
      </c>
      <c r="K660" s="101" t="str">
        <f t="shared" si="52"/>
        <v>93</v>
      </c>
      <c r="L660" s="101" t="str">
        <f t="shared" si="53"/>
        <v>06</v>
      </c>
      <c r="M660" s="101" t="str">
        <f t="shared" si="54"/>
        <v>16</v>
      </c>
    </row>
    <row r="661" spans="1:13">
      <c r="A661" t="str">
        <f t="shared" si="50"/>
        <v>福山平成大学2660男</v>
      </c>
      <c r="B661" s="149" t="s">
        <v>2030</v>
      </c>
      <c r="C661" s="149">
        <v>2660</v>
      </c>
      <c r="D661" s="149" t="s">
        <v>2290</v>
      </c>
      <c r="E661" s="149" t="s">
        <v>2291</v>
      </c>
      <c r="F661" s="149" t="s">
        <v>260</v>
      </c>
      <c r="G661" s="149" t="s">
        <v>143</v>
      </c>
      <c r="H661" s="151" t="str">
        <f t="shared" si="51"/>
        <v>1993/09/26</v>
      </c>
      <c r="I661" s="149" t="s">
        <v>295</v>
      </c>
      <c r="J661" s="149" t="s">
        <v>3848</v>
      </c>
      <c r="K661" s="101" t="str">
        <f t="shared" si="52"/>
        <v>93</v>
      </c>
      <c r="L661" s="101" t="str">
        <f t="shared" si="53"/>
        <v>09</v>
      </c>
      <c r="M661" s="101" t="str">
        <f t="shared" si="54"/>
        <v>26</v>
      </c>
    </row>
    <row r="662" spans="1:13">
      <c r="A662" t="str">
        <f t="shared" si="50"/>
        <v>福山平成大学2661男</v>
      </c>
      <c r="B662" s="149" t="s">
        <v>2030</v>
      </c>
      <c r="C662" s="149">
        <v>2661</v>
      </c>
      <c r="D662" s="149" t="s">
        <v>2292</v>
      </c>
      <c r="E662" s="149" t="s">
        <v>2293</v>
      </c>
      <c r="F662" s="149" t="s">
        <v>260</v>
      </c>
      <c r="G662" s="149" t="s">
        <v>143</v>
      </c>
      <c r="H662" s="151" t="str">
        <f t="shared" si="51"/>
        <v>1993/09/09</v>
      </c>
      <c r="I662" s="149" t="s">
        <v>295</v>
      </c>
      <c r="J662" s="149" t="s">
        <v>565</v>
      </c>
      <c r="K662" s="101" t="str">
        <f t="shared" si="52"/>
        <v>93</v>
      </c>
      <c r="L662" s="101" t="str">
        <f t="shared" si="53"/>
        <v>09</v>
      </c>
      <c r="M662" s="101" t="str">
        <f t="shared" si="54"/>
        <v>09</v>
      </c>
    </row>
    <row r="663" spans="1:13">
      <c r="A663" t="str">
        <f t="shared" si="50"/>
        <v>福山平成大学2662男</v>
      </c>
      <c r="B663" s="149" t="s">
        <v>2030</v>
      </c>
      <c r="C663" s="149">
        <v>2662</v>
      </c>
      <c r="D663" s="149" t="s">
        <v>2294</v>
      </c>
      <c r="E663" s="149" t="s">
        <v>2295</v>
      </c>
      <c r="F663" s="149" t="s">
        <v>260</v>
      </c>
      <c r="G663" s="149" t="s">
        <v>143</v>
      </c>
      <c r="H663" s="151" t="str">
        <f t="shared" si="51"/>
        <v>1994/02/28</v>
      </c>
      <c r="I663" s="149" t="s">
        <v>299</v>
      </c>
      <c r="J663" s="149" t="s">
        <v>548</v>
      </c>
      <c r="K663" s="101" t="str">
        <f t="shared" si="52"/>
        <v>94</v>
      </c>
      <c r="L663" s="101" t="str">
        <f t="shared" si="53"/>
        <v>02</v>
      </c>
      <c r="M663" s="101" t="str">
        <f t="shared" si="54"/>
        <v>28</v>
      </c>
    </row>
    <row r="664" spans="1:13">
      <c r="A664" t="str">
        <f t="shared" si="50"/>
        <v>福山平成大学2663男</v>
      </c>
      <c r="B664" s="149" t="s">
        <v>2030</v>
      </c>
      <c r="C664" s="149">
        <v>2663</v>
      </c>
      <c r="D664" s="149" t="s">
        <v>2296</v>
      </c>
      <c r="E664" s="149" t="s">
        <v>2297</v>
      </c>
      <c r="F664" s="149" t="s">
        <v>265</v>
      </c>
      <c r="G664" s="149" t="s">
        <v>143</v>
      </c>
      <c r="H664" s="151" t="str">
        <f t="shared" si="51"/>
        <v>1994/05/06</v>
      </c>
      <c r="I664" s="149" t="s">
        <v>295</v>
      </c>
      <c r="J664" s="149" t="s">
        <v>340</v>
      </c>
      <c r="K664" s="101" t="str">
        <f t="shared" si="52"/>
        <v>94</v>
      </c>
      <c r="L664" s="101" t="str">
        <f t="shared" si="53"/>
        <v>05</v>
      </c>
      <c r="M664" s="101" t="str">
        <f t="shared" si="54"/>
        <v>06</v>
      </c>
    </row>
    <row r="665" spans="1:13">
      <c r="A665" t="str">
        <f t="shared" si="50"/>
        <v>福山平成大学2664男</v>
      </c>
      <c r="B665" s="149" t="s">
        <v>2030</v>
      </c>
      <c r="C665" s="149">
        <v>2664</v>
      </c>
      <c r="D665" s="149" t="s">
        <v>2298</v>
      </c>
      <c r="E665" s="149" t="s">
        <v>2299</v>
      </c>
      <c r="F665" s="149" t="s">
        <v>265</v>
      </c>
      <c r="G665" s="149" t="s">
        <v>143</v>
      </c>
      <c r="H665" s="151" t="str">
        <f t="shared" si="51"/>
        <v>1995/03/24</v>
      </c>
      <c r="I665" s="149" t="s">
        <v>295</v>
      </c>
      <c r="J665" s="149" t="s">
        <v>408</v>
      </c>
      <c r="K665" s="101" t="str">
        <f t="shared" si="52"/>
        <v>95</v>
      </c>
      <c r="L665" s="101" t="str">
        <f t="shared" si="53"/>
        <v>03</v>
      </c>
      <c r="M665" s="101" t="str">
        <f t="shared" si="54"/>
        <v>24</v>
      </c>
    </row>
    <row r="666" spans="1:13">
      <c r="A666" t="str">
        <f t="shared" si="50"/>
        <v>福山平成大学2665男</v>
      </c>
      <c r="B666" s="149" t="s">
        <v>2030</v>
      </c>
      <c r="C666" s="149">
        <v>2665</v>
      </c>
      <c r="D666" s="149" t="s">
        <v>2300</v>
      </c>
      <c r="E666" s="149" t="s">
        <v>2301</v>
      </c>
      <c r="F666" s="149" t="s">
        <v>265</v>
      </c>
      <c r="G666" s="149" t="s">
        <v>143</v>
      </c>
      <c r="H666" s="151" t="str">
        <f t="shared" si="51"/>
        <v>1994/09/27</v>
      </c>
      <c r="I666" s="149" t="s">
        <v>295</v>
      </c>
      <c r="J666" s="149" t="s">
        <v>477</v>
      </c>
      <c r="K666" s="101" t="str">
        <f t="shared" si="52"/>
        <v>94</v>
      </c>
      <c r="L666" s="101" t="str">
        <f t="shared" si="53"/>
        <v>09</v>
      </c>
      <c r="M666" s="101" t="str">
        <f t="shared" si="54"/>
        <v>27</v>
      </c>
    </row>
    <row r="667" spans="1:13">
      <c r="A667" t="str">
        <f t="shared" si="50"/>
        <v>福山平成大学2666男</v>
      </c>
      <c r="B667" s="149" t="s">
        <v>2030</v>
      </c>
      <c r="C667" s="149">
        <v>2666</v>
      </c>
      <c r="D667" s="149" t="s">
        <v>2302</v>
      </c>
      <c r="E667" s="149" t="s">
        <v>2303</v>
      </c>
      <c r="F667" s="149" t="s">
        <v>265</v>
      </c>
      <c r="G667" s="149" t="s">
        <v>143</v>
      </c>
      <c r="H667" s="151" t="str">
        <f t="shared" si="51"/>
        <v>1995/02/21</v>
      </c>
      <c r="I667" s="149" t="s">
        <v>301</v>
      </c>
      <c r="J667" s="149" t="s">
        <v>341</v>
      </c>
      <c r="K667" s="101" t="str">
        <f t="shared" si="52"/>
        <v>95</v>
      </c>
      <c r="L667" s="101" t="str">
        <f t="shared" si="53"/>
        <v>02</v>
      </c>
      <c r="M667" s="101" t="str">
        <f t="shared" si="54"/>
        <v>21</v>
      </c>
    </row>
    <row r="668" spans="1:13">
      <c r="A668" t="str">
        <f t="shared" si="50"/>
        <v>福山平成大学2667男</v>
      </c>
      <c r="B668" s="149" t="s">
        <v>2030</v>
      </c>
      <c r="C668" s="149">
        <v>2667</v>
      </c>
      <c r="D668" s="149" t="s">
        <v>2304</v>
      </c>
      <c r="E668" s="149" t="s">
        <v>2305</v>
      </c>
      <c r="F668" s="149" t="s">
        <v>267</v>
      </c>
      <c r="G668" s="149" t="s">
        <v>143</v>
      </c>
      <c r="H668" s="151" t="str">
        <f t="shared" si="51"/>
        <v>1995/09/21</v>
      </c>
      <c r="I668" s="149" t="s">
        <v>289</v>
      </c>
      <c r="J668" s="149" t="s">
        <v>608</v>
      </c>
      <c r="K668" s="101" t="str">
        <f t="shared" si="52"/>
        <v>95</v>
      </c>
      <c r="L668" s="101" t="str">
        <f t="shared" si="53"/>
        <v>09</v>
      </c>
      <c r="M668" s="101" t="str">
        <f t="shared" si="54"/>
        <v>21</v>
      </c>
    </row>
    <row r="669" spans="1:13">
      <c r="A669" t="str">
        <f t="shared" si="50"/>
        <v>福山平成大学2668男</v>
      </c>
      <c r="B669" s="149" t="s">
        <v>2030</v>
      </c>
      <c r="C669" s="149">
        <v>2668</v>
      </c>
      <c r="D669" s="149" t="s">
        <v>2306</v>
      </c>
      <c r="E669" s="149" t="s">
        <v>2307</v>
      </c>
      <c r="F669" s="149" t="s">
        <v>267</v>
      </c>
      <c r="G669" s="149" t="s">
        <v>143</v>
      </c>
      <c r="H669" s="151" t="str">
        <f t="shared" si="51"/>
        <v>1995/10/01</v>
      </c>
      <c r="I669" s="149" t="s">
        <v>295</v>
      </c>
      <c r="J669" s="149" t="s">
        <v>629</v>
      </c>
      <c r="K669" s="101" t="str">
        <f t="shared" si="52"/>
        <v>95</v>
      </c>
      <c r="L669" s="101" t="str">
        <f t="shared" si="53"/>
        <v>10</v>
      </c>
      <c r="M669" s="101" t="str">
        <f t="shared" si="54"/>
        <v>01</v>
      </c>
    </row>
    <row r="670" spans="1:13">
      <c r="A670" t="str">
        <f t="shared" si="50"/>
        <v>福山平成大学2669男</v>
      </c>
      <c r="B670" s="149" t="s">
        <v>2030</v>
      </c>
      <c r="C670" s="149">
        <v>2669</v>
      </c>
      <c r="D670" s="149" t="s">
        <v>2308</v>
      </c>
      <c r="E670" s="149" t="s">
        <v>2309</v>
      </c>
      <c r="F670" s="149" t="s">
        <v>260</v>
      </c>
      <c r="G670" s="149" t="s">
        <v>143</v>
      </c>
      <c r="H670" s="151" t="str">
        <f t="shared" si="51"/>
        <v>1994/02/11</v>
      </c>
      <c r="I670" s="149" t="s">
        <v>295</v>
      </c>
      <c r="J670" s="149" t="s">
        <v>904</v>
      </c>
      <c r="K670" s="101" t="str">
        <f t="shared" si="52"/>
        <v>94</v>
      </c>
      <c r="L670" s="101" t="str">
        <f t="shared" si="53"/>
        <v>02</v>
      </c>
      <c r="M670" s="101" t="str">
        <f t="shared" si="54"/>
        <v>11</v>
      </c>
    </row>
    <row r="671" spans="1:13">
      <c r="A671" t="str">
        <f t="shared" si="50"/>
        <v>広島国際大学2670男</v>
      </c>
      <c r="B671" s="149" t="s">
        <v>1361</v>
      </c>
      <c r="C671" s="149">
        <v>2670</v>
      </c>
      <c r="D671" s="149" t="s">
        <v>2310</v>
      </c>
      <c r="E671" s="149" t="s">
        <v>2311</v>
      </c>
      <c r="F671" s="149" t="s">
        <v>267</v>
      </c>
      <c r="G671" s="149" t="s">
        <v>143</v>
      </c>
      <c r="H671" s="151" t="str">
        <f t="shared" si="51"/>
        <v>1995/10/02</v>
      </c>
      <c r="I671" s="149" t="s">
        <v>295</v>
      </c>
      <c r="J671" s="149" t="s">
        <v>445</v>
      </c>
      <c r="K671" s="101" t="str">
        <f t="shared" si="52"/>
        <v>95</v>
      </c>
      <c r="L671" s="101" t="str">
        <f t="shared" si="53"/>
        <v>10</v>
      </c>
      <c r="M671" s="101" t="str">
        <f t="shared" si="54"/>
        <v>02</v>
      </c>
    </row>
    <row r="672" spans="1:13">
      <c r="A672" t="str">
        <f t="shared" si="50"/>
        <v>広島国際大学2671男</v>
      </c>
      <c r="B672" s="149" t="s">
        <v>1361</v>
      </c>
      <c r="C672" s="149">
        <v>2671</v>
      </c>
      <c r="D672" s="149" t="s">
        <v>2312</v>
      </c>
      <c r="E672" s="149" t="s">
        <v>2313</v>
      </c>
      <c r="F672" s="149" t="s">
        <v>265</v>
      </c>
      <c r="G672" s="149" t="s">
        <v>143</v>
      </c>
      <c r="H672" s="151" t="str">
        <f t="shared" si="51"/>
        <v>1994/12/14</v>
      </c>
      <c r="I672" s="149" t="s">
        <v>295</v>
      </c>
      <c r="J672" s="149" t="s">
        <v>637</v>
      </c>
      <c r="K672" s="101" t="str">
        <f t="shared" si="52"/>
        <v>94</v>
      </c>
      <c r="L672" s="101" t="str">
        <f t="shared" si="53"/>
        <v>12</v>
      </c>
      <c r="M672" s="101" t="str">
        <f t="shared" si="54"/>
        <v>14</v>
      </c>
    </row>
    <row r="673" spans="1:13">
      <c r="A673" t="str">
        <f t="shared" si="50"/>
        <v>広島国際大学2672男</v>
      </c>
      <c r="B673" s="149" t="s">
        <v>1361</v>
      </c>
      <c r="C673" s="149">
        <v>2672</v>
      </c>
      <c r="D673" s="149" t="s">
        <v>2314</v>
      </c>
      <c r="E673" s="149" t="s">
        <v>2315</v>
      </c>
      <c r="F673" s="149" t="s">
        <v>267</v>
      </c>
      <c r="G673" s="149" t="s">
        <v>143</v>
      </c>
      <c r="H673" s="151" t="str">
        <f t="shared" si="51"/>
        <v>1996/01/23</v>
      </c>
      <c r="I673" s="149" t="s">
        <v>295</v>
      </c>
      <c r="J673" s="149" t="s">
        <v>387</v>
      </c>
      <c r="K673" s="101" t="str">
        <f t="shared" si="52"/>
        <v>96</v>
      </c>
      <c r="L673" s="101" t="str">
        <f t="shared" si="53"/>
        <v>01</v>
      </c>
      <c r="M673" s="101" t="str">
        <f t="shared" si="54"/>
        <v>23</v>
      </c>
    </row>
    <row r="674" spans="1:13">
      <c r="A674" t="str">
        <f t="shared" si="50"/>
        <v>広島国際大学2673男</v>
      </c>
      <c r="B674" s="149" t="s">
        <v>1361</v>
      </c>
      <c r="C674" s="149">
        <v>2673</v>
      </c>
      <c r="D674" s="149" t="s">
        <v>2316</v>
      </c>
      <c r="E674" s="149" t="s">
        <v>2317</v>
      </c>
      <c r="F674" s="149" t="s">
        <v>265</v>
      </c>
      <c r="G674" s="149" t="s">
        <v>143</v>
      </c>
      <c r="H674" s="151" t="str">
        <f t="shared" si="51"/>
        <v>1995/03/06</v>
      </c>
      <c r="I674" s="149" t="s">
        <v>295</v>
      </c>
      <c r="J674" s="149" t="s">
        <v>3689</v>
      </c>
      <c r="K674" s="101" t="str">
        <f t="shared" si="52"/>
        <v>95</v>
      </c>
      <c r="L674" s="101" t="str">
        <f t="shared" si="53"/>
        <v>03</v>
      </c>
      <c r="M674" s="101" t="str">
        <f t="shared" si="54"/>
        <v>06</v>
      </c>
    </row>
    <row r="675" spans="1:13">
      <c r="A675" t="str">
        <f t="shared" si="50"/>
        <v>下関市立大学2674男</v>
      </c>
      <c r="B675" s="149" t="s">
        <v>2318</v>
      </c>
      <c r="C675" s="149">
        <v>2674</v>
      </c>
      <c r="D675" s="149" t="s">
        <v>2319</v>
      </c>
      <c r="E675" s="149" t="s">
        <v>2320</v>
      </c>
      <c r="F675" s="149" t="s">
        <v>265</v>
      </c>
      <c r="G675" s="149" t="s">
        <v>143</v>
      </c>
      <c r="H675" s="151" t="str">
        <f t="shared" si="51"/>
        <v>1994/08/19</v>
      </c>
      <c r="I675" s="149" t="s">
        <v>269</v>
      </c>
      <c r="J675" s="149" t="s">
        <v>3849</v>
      </c>
      <c r="K675" s="101" t="str">
        <f t="shared" si="52"/>
        <v>94</v>
      </c>
      <c r="L675" s="101" t="str">
        <f t="shared" si="53"/>
        <v>08</v>
      </c>
      <c r="M675" s="101" t="str">
        <f t="shared" si="54"/>
        <v>19</v>
      </c>
    </row>
    <row r="676" spans="1:13">
      <c r="A676" t="str">
        <f t="shared" si="50"/>
        <v>下関市立大学2675男</v>
      </c>
      <c r="B676" s="149" t="s">
        <v>2318</v>
      </c>
      <c r="C676" s="149">
        <v>2675</v>
      </c>
      <c r="D676" s="149" t="s">
        <v>2321</v>
      </c>
      <c r="E676" s="149" t="s">
        <v>2322</v>
      </c>
      <c r="F676" s="149" t="s">
        <v>260</v>
      </c>
      <c r="G676" s="149" t="s">
        <v>143</v>
      </c>
      <c r="H676" s="151" t="str">
        <f t="shared" si="51"/>
        <v>1993/11/15</v>
      </c>
      <c r="I676" s="149" t="s">
        <v>269</v>
      </c>
      <c r="J676" s="149" t="s">
        <v>499</v>
      </c>
      <c r="K676" s="101" t="str">
        <f t="shared" si="52"/>
        <v>93</v>
      </c>
      <c r="L676" s="101" t="str">
        <f t="shared" si="53"/>
        <v>11</v>
      </c>
      <c r="M676" s="101" t="str">
        <f t="shared" si="54"/>
        <v>15</v>
      </c>
    </row>
    <row r="677" spans="1:13">
      <c r="A677" t="str">
        <f t="shared" si="50"/>
        <v>下関市立大学2676男</v>
      </c>
      <c r="B677" s="149" t="s">
        <v>2318</v>
      </c>
      <c r="C677" s="149">
        <v>2676</v>
      </c>
      <c r="D677" s="149" t="s">
        <v>2323</v>
      </c>
      <c r="E677" s="149" t="s">
        <v>2324</v>
      </c>
      <c r="F677" s="149" t="s">
        <v>267</v>
      </c>
      <c r="G677" s="149" t="s">
        <v>143</v>
      </c>
      <c r="H677" s="151" t="str">
        <f t="shared" si="51"/>
        <v>1995/07/11</v>
      </c>
      <c r="I677" s="149" t="s">
        <v>269</v>
      </c>
      <c r="J677" s="149" t="s">
        <v>350</v>
      </c>
      <c r="K677" s="101" t="str">
        <f t="shared" si="52"/>
        <v>95</v>
      </c>
      <c r="L677" s="101" t="str">
        <f t="shared" si="53"/>
        <v>07</v>
      </c>
      <c r="M677" s="101" t="str">
        <f t="shared" si="54"/>
        <v>11</v>
      </c>
    </row>
    <row r="678" spans="1:13">
      <c r="A678" t="str">
        <f t="shared" si="50"/>
        <v>下関市立大学2677男</v>
      </c>
      <c r="B678" s="149" t="s">
        <v>2318</v>
      </c>
      <c r="C678" s="149">
        <v>2677</v>
      </c>
      <c r="D678" s="149" t="s">
        <v>2325</v>
      </c>
      <c r="E678" s="149" t="s">
        <v>2326</v>
      </c>
      <c r="F678" s="149" t="s">
        <v>267</v>
      </c>
      <c r="G678" s="149" t="s">
        <v>143</v>
      </c>
      <c r="H678" s="151" t="str">
        <f t="shared" si="51"/>
        <v>1995/09/18</v>
      </c>
      <c r="I678" s="149" t="s">
        <v>269</v>
      </c>
      <c r="J678" s="149" t="s">
        <v>383</v>
      </c>
      <c r="K678" s="101" t="str">
        <f t="shared" si="52"/>
        <v>95</v>
      </c>
      <c r="L678" s="101" t="str">
        <f t="shared" si="53"/>
        <v>09</v>
      </c>
      <c r="M678" s="101" t="str">
        <f t="shared" si="54"/>
        <v>18</v>
      </c>
    </row>
    <row r="679" spans="1:13">
      <c r="A679" t="str">
        <f t="shared" si="50"/>
        <v>下関市立大学2678男</v>
      </c>
      <c r="B679" s="149" t="s">
        <v>2318</v>
      </c>
      <c r="C679" s="149">
        <v>2678</v>
      </c>
      <c r="D679" s="149" t="s">
        <v>2327</v>
      </c>
      <c r="E679" s="149" t="s">
        <v>2328</v>
      </c>
      <c r="F679" s="149" t="s">
        <v>265</v>
      </c>
      <c r="G679" s="149" t="s">
        <v>143</v>
      </c>
      <c r="H679" s="151" t="str">
        <f t="shared" si="51"/>
        <v>1993/04/25</v>
      </c>
      <c r="I679" s="149" t="s">
        <v>269</v>
      </c>
      <c r="J679" s="149" t="s">
        <v>372</v>
      </c>
      <c r="K679" s="101" t="str">
        <f t="shared" si="52"/>
        <v>93</v>
      </c>
      <c r="L679" s="101" t="str">
        <f t="shared" si="53"/>
        <v>04</v>
      </c>
      <c r="M679" s="101" t="str">
        <f t="shared" si="54"/>
        <v>25</v>
      </c>
    </row>
    <row r="680" spans="1:13">
      <c r="A680" t="str">
        <f t="shared" si="50"/>
        <v>下関市立大学2679男</v>
      </c>
      <c r="B680" s="149" t="s">
        <v>2318</v>
      </c>
      <c r="C680" s="149">
        <v>2679</v>
      </c>
      <c r="D680" s="149" t="s">
        <v>2329</v>
      </c>
      <c r="E680" s="149" t="s">
        <v>2330</v>
      </c>
      <c r="F680" s="149" t="s">
        <v>265</v>
      </c>
      <c r="G680" s="149" t="s">
        <v>143</v>
      </c>
      <c r="H680" s="151" t="str">
        <f t="shared" si="51"/>
        <v>1994/07/28</v>
      </c>
      <c r="I680" s="149" t="s">
        <v>269</v>
      </c>
      <c r="J680" s="149" t="s">
        <v>500</v>
      </c>
      <c r="K680" s="101" t="str">
        <f t="shared" si="52"/>
        <v>94</v>
      </c>
      <c r="L680" s="101" t="str">
        <f t="shared" si="53"/>
        <v>07</v>
      </c>
      <c r="M680" s="101" t="str">
        <f t="shared" si="54"/>
        <v>28</v>
      </c>
    </row>
    <row r="681" spans="1:13">
      <c r="A681" t="str">
        <f t="shared" si="50"/>
        <v>下関市立大学2680男</v>
      </c>
      <c r="B681" s="149" t="s">
        <v>2318</v>
      </c>
      <c r="C681" s="149">
        <v>2680</v>
      </c>
      <c r="D681" s="149" t="s">
        <v>2331</v>
      </c>
      <c r="E681" s="149" t="s">
        <v>2332</v>
      </c>
      <c r="F681" s="149" t="s">
        <v>267</v>
      </c>
      <c r="G681" s="149" t="s">
        <v>143</v>
      </c>
      <c r="H681" s="151" t="str">
        <f t="shared" si="51"/>
        <v>1995/10/30</v>
      </c>
      <c r="I681" s="149" t="s">
        <v>269</v>
      </c>
      <c r="J681" s="149" t="s">
        <v>427</v>
      </c>
      <c r="K681" s="101" t="str">
        <f t="shared" si="52"/>
        <v>95</v>
      </c>
      <c r="L681" s="101" t="str">
        <f t="shared" si="53"/>
        <v>10</v>
      </c>
      <c r="M681" s="101" t="str">
        <f t="shared" si="54"/>
        <v>30</v>
      </c>
    </row>
    <row r="682" spans="1:13">
      <c r="A682" t="str">
        <f t="shared" si="50"/>
        <v>下関市立大学2681男</v>
      </c>
      <c r="B682" s="149" t="s">
        <v>2318</v>
      </c>
      <c r="C682" s="149">
        <v>2681</v>
      </c>
      <c r="D682" s="149" t="s">
        <v>2333</v>
      </c>
      <c r="E682" s="149" t="s">
        <v>2334</v>
      </c>
      <c r="F682" s="149" t="s">
        <v>265</v>
      </c>
      <c r="G682" s="149" t="s">
        <v>143</v>
      </c>
      <c r="H682" s="151" t="str">
        <f t="shared" si="51"/>
        <v>1995/02/25</v>
      </c>
      <c r="I682" s="149" t="s">
        <v>269</v>
      </c>
      <c r="J682" s="149" t="s">
        <v>584</v>
      </c>
      <c r="K682" s="101" t="str">
        <f t="shared" si="52"/>
        <v>95</v>
      </c>
      <c r="L682" s="101" t="str">
        <f t="shared" si="53"/>
        <v>02</v>
      </c>
      <c r="M682" s="101" t="str">
        <f t="shared" si="54"/>
        <v>25</v>
      </c>
    </row>
    <row r="683" spans="1:13">
      <c r="A683" t="str">
        <f t="shared" si="50"/>
        <v>下関市立大学2682男</v>
      </c>
      <c r="B683" s="149" t="s">
        <v>2318</v>
      </c>
      <c r="C683" s="149">
        <v>2682</v>
      </c>
      <c r="D683" s="149" t="s">
        <v>2335</v>
      </c>
      <c r="E683" s="149" t="s">
        <v>2336</v>
      </c>
      <c r="F683" s="149" t="s">
        <v>265</v>
      </c>
      <c r="G683" s="149" t="s">
        <v>143</v>
      </c>
      <c r="H683" s="151" t="str">
        <f t="shared" si="51"/>
        <v>1994/10/31</v>
      </c>
      <c r="I683" s="149" t="s">
        <v>269</v>
      </c>
      <c r="J683" s="149" t="s">
        <v>348</v>
      </c>
      <c r="K683" s="101" t="str">
        <f t="shared" si="52"/>
        <v>94</v>
      </c>
      <c r="L683" s="101" t="str">
        <f t="shared" si="53"/>
        <v>10</v>
      </c>
      <c r="M683" s="101" t="str">
        <f t="shared" si="54"/>
        <v>31</v>
      </c>
    </row>
    <row r="684" spans="1:13">
      <c r="A684" t="str">
        <f t="shared" si="50"/>
        <v>下関市立大学2683男</v>
      </c>
      <c r="B684" s="149" t="s">
        <v>2318</v>
      </c>
      <c r="C684" s="149">
        <v>2683</v>
      </c>
      <c r="D684" s="149" t="s">
        <v>2337</v>
      </c>
      <c r="E684" s="149" t="s">
        <v>2338</v>
      </c>
      <c r="F684" s="149" t="s">
        <v>265</v>
      </c>
      <c r="G684" s="149" t="s">
        <v>143</v>
      </c>
      <c r="H684" s="151" t="str">
        <f t="shared" si="51"/>
        <v>1994/12/03</v>
      </c>
      <c r="I684" s="149" t="s">
        <v>269</v>
      </c>
      <c r="J684" s="149" t="s">
        <v>892</v>
      </c>
      <c r="K684" s="101" t="str">
        <f t="shared" si="52"/>
        <v>94</v>
      </c>
      <c r="L684" s="101" t="str">
        <f t="shared" si="53"/>
        <v>12</v>
      </c>
      <c r="M684" s="101" t="str">
        <f t="shared" si="54"/>
        <v>03</v>
      </c>
    </row>
    <row r="685" spans="1:13">
      <c r="A685" t="str">
        <f t="shared" si="50"/>
        <v>下関市立大学2684男</v>
      </c>
      <c r="B685" s="149" t="s">
        <v>2318</v>
      </c>
      <c r="C685" s="149">
        <v>2684</v>
      </c>
      <c r="D685" s="149" t="s">
        <v>2339</v>
      </c>
      <c r="E685" s="149" t="s">
        <v>2340</v>
      </c>
      <c r="F685" s="149" t="s">
        <v>265</v>
      </c>
      <c r="G685" s="149" t="s">
        <v>143</v>
      </c>
      <c r="H685" s="151" t="str">
        <f t="shared" si="51"/>
        <v>1994/11/06</v>
      </c>
      <c r="I685" s="149" t="s">
        <v>269</v>
      </c>
      <c r="J685" s="149" t="s">
        <v>855</v>
      </c>
      <c r="K685" s="101" t="str">
        <f t="shared" si="52"/>
        <v>94</v>
      </c>
      <c r="L685" s="101" t="str">
        <f t="shared" si="53"/>
        <v>11</v>
      </c>
      <c r="M685" s="101" t="str">
        <f t="shared" si="54"/>
        <v>06</v>
      </c>
    </row>
    <row r="686" spans="1:13">
      <c r="A686" t="str">
        <f t="shared" si="50"/>
        <v>下関市立大学2685男</v>
      </c>
      <c r="B686" s="149" t="s">
        <v>2318</v>
      </c>
      <c r="C686" s="149">
        <v>2685</v>
      </c>
      <c r="D686" s="149" t="s">
        <v>2341</v>
      </c>
      <c r="E686" s="149" t="s">
        <v>2342</v>
      </c>
      <c r="F686" s="149" t="s">
        <v>267</v>
      </c>
      <c r="G686" s="149" t="s">
        <v>143</v>
      </c>
      <c r="H686" s="151" t="str">
        <f t="shared" si="51"/>
        <v>1995/11/12</v>
      </c>
      <c r="I686" s="149" t="s">
        <v>269</v>
      </c>
      <c r="J686" s="149" t="s">
        <v>3850</v>
      </c>
      <c r="K686" s="101" t="str">
        <f t="shared" si="52"/>
        <v>95</v>
      </c>
      <c r="L686" s="101" t="str">
        <f t="shared" si="53"/>
        <v>11</v>
      </c>
      <c r="M686" s="101" t="str">
        <f t="shared" si="54"/>
        <v>12</v>
      </c>
    </row>
    <row r="687" spans="1:13">
      <c r="A687" t="str">
        <f t="shared" si="50"/>
        <v>下関市立大学2686男</v>
      </c>
      <c r="B687" s="149" t="s">
        <v>2318</v>
      </c>
      <c r="C687" s="149">
        <v>2686</v>
      </c>
      <c r="D687" s="149" t="s">
        <v>2343</v>
      </c>
      <c r="E687" s="149" t="s">
        <v>2344</v>
      </c>
      <c r="F687" s="149" t="s">
        <v>265</v>
      </c>
      <c r="G687" s="149" t="s">
        <v>143</v>
      </c>
      <c r="H687" s="151" t="str">
        <f t="shared" si="51"/>
        <v>1994/07/27</v>
      </c>
      <c r="I687" s="149" t="s">
        <v>269</v>
      </c>
      <c r="J687" s="149" t="s">
        <v>579</v>
      </c>
      <c r="K687" s="101" t="str">
        <f t="shared" si="52"/>
        <v>94</v>
      </c>
      <c r="L687" s="101" t="str">
        <f t="shared" si="53"/>
        <v>07</v>
      </c>
      <c r="M687" s="101" t="str">
        <f t="shared" si="54"/>
        <v>27</v>
      </c>
    </row>
    <row r="688" spans="1:13">
      <c r="A688" t="str">
        <f t="shared" si="50"/>
        <v>徳島大学2687男</v>
      </c>
      <c r="B688" s="149" t="s">
        <v>2345</v>
      </c>
      <c r="C688" s="149">
        <v>2687</v>
      </c>
      <c r="D688" s="149" t="s">
        <v>2346</v>
      </c>
      <c r="E688" s="149" t="s">
        <v>2347</v>
      </c>
      <c r="F688" s="149" t="s">
        <v>264</v>
      </c>
      <c r="G688" s="149" t="s">
        <v>143</v>
      </c>
      <c r="H688" s="151" t="str">
        <f t="shared" si="51"/>
        <v>1992/09/02</v>
      </c>
      <c r="I688" s="149" t="s">
        <v>276</v>
      </c>
      <c r="J688" s="149" t="s">
        <v>3851</v>
      </c>
      <c r="K688" s="101" t="str">
        <f t="shared" si="52"/>
        <v>92</v>
      </c>
      <c r="L688" s="101" t="str">
        <f t="shared" si="53"/>
        <v>09</v>
      </c>
      <c r="M688" s="101" t="str">
        <f t="shared" si="54"/>
        <v>02</v>
      </c>
    </row>
    <row r="689" spans="1:13">
      <c r="A689" t="str">
        <f t="shared" si="50"/>
        <v>徳島大学2688男</v>
      </c>
      <c r="B689" s="149" t="s">
        <v>2345</v>
      </c>
      <c r="C689" s="149">
        <v>2688</v>
      </c>
      <c r="D689" s="149" t="s">
        <v>2348</v>
      </c>
      <c r="E689" s="149" t="s">
        <v>2349</v>
      </c>
      <c r="F689" s="149" t="s">
        <v>267</v>
      </c>
      <c r="G689" s="149" t="s">
        <v>143</v>
      </c>
      <c r="H689" s="151" t="str">
        <f t="shared" si="51"/>
        <v>1994/10/27</v>
      </c>
      <c r="I689" s="149" t="s">
        <v>276</v>
      </c>
      <c r="J689" s="149" t="s">
        <v>3758</v>
      </c>
      <c r="K689" s="101" t="str">
        <f t="shared" si="52"/>
        <v>94</v>
      </c>
      <c r="L689" s="101" t="str">
        <f t="shared" si="53"/>
        <v>10</v>
      </c>
      <c r="M689" s="101" t="str">
        <f t="shared" si="54"/>
        <v>27</v>
      </c>
    </row>
    <row r="690" spans="1:13">
      <c r="A690" t="str">
        <f t="shared" si="50"/>
        <v>徳島大学2689男</v>
      </c>
      <c r="B690" s="149" t="s">
        <v>2345</v>
      </c>
      <c r="C690" s="149">
        <v>2689</v>
      </c>
      <c r="D690" s="149" t="s">
        <v>2350</v>
      </c>
      <c r="E690" s="149" t="s">
        <v>2351</v>
      </c>
      <c r="F690" s="149" t="s">
        <v>265</v>
      </c>
      <c r="G690" s="149" t="s">
        <v>143</v>
      </c>
      <c r="H690" s="151" t="str">
        <f t="shared" si="51"/>
        <v>1995/01/09</v>
      </c>
      <c r="I690" s="149" t="s">
        <v>276</v>
      </c>
      <c r="J690" s="149" t="s">
        <v>471</v>
      </c>
      <c r="K690" s="101" t="str">
        <f t="shared" si="52"/>
        <v>95</v>
      </c>
      <c r="L690" s="101" t="str">
        <f t="shared" si="53"/>
        <v>01</v>
      </c>
      <c r="M690" s="101" t="str">
        <f t="shared" si="54"/>
        <v>09</v>
      </c>
    </row>
    <row r="691" spans="1:13">
      <c r="A691" t="str">
        <f t="shared" si="50"/>
        <v>徳島大学2690男</v>
      </c>
      <c r="B691" s="149" t="s">
        <v>2345</v>
      </c>
      <c r="C691" s="149">
        <v>2690</v>
      </c>
      <c r="D691" s="149" t="s">
        <v>2352</v>
      </c>
      <c r="E691" s="149" t="s">
        <v>2353</v>
      </c>
      <c r="F691" s="149" t="s">
        <v>264</v>
      </c>
      <c r="G691" s="149" t="s">
        <v>143</v>
      </c>
      <c r="H691" s="151" t="str">
        <f t="shared" si="51"/>
        <v>1991/09/12</v>
      </c>
      <c r="I691" s="149" t="s">
        <v>276</v>
      </c>
      <c r="J691" s="149" t="s">
        <v>3852</v>
      </c>
      <c r="K691" s="101" t="str">
        <f t="shared" si="52"/>
        <v>91</v>
      </c>
      <c r="L691" s="101" t="str">
        <f t="shared" si="53"/>
        <v>09</v>
      </c>
      <c r="M691" s="101" t="str">
        <f t="shared" si="54"/>
        <v>12</v>
      </c>
    </row>
    <row r="692" spans="1:13">
      <c r="A692" t="str">
        <f t="shared" si="50"/>
        <v>徳島大学2691男</v>
      </c>
      <c r="B692" s="149" t="s">
        <v>2345</v>
      </c>
      <c r="C692" s="149">
        <v>2691</v>
      </c>
      <c r="D692" s="149" t="s">
        <v>2354</v>
      </c>
      <c r="E692" s="149" t="s">
        <v>2355</v>
      </c>
      <c r="F692" s="149" t="s">
        <v>260</v>
      </c>
      <c r="G692" s="149" t="s">
        <v>143</v>
      </c>
      <c r="H692" s="151" t="str">
        <f t="shared" si="51"/>
        <v>1993/11/23</v>
      </c>
      <c r="I692" s="149" t="s">
        <v>282</v>
      </c>
      <c r="J692" s="149" t="s">
        <v>3853</v>
      </c>
      <c r="K692" s="101" t="str">
        <f t="shared" si="52"/>
        <v>93</v>
      </c>
      <c r="L692" s="101" t="str">
        <f t="shared" si="53"/>
        <v>11</v>
      </c>
      <c r="M692" s="101" t="str">
        <f t="shared" si="54"/>
        <v>23</v>
      </c>
    </row>
    <row r="693" spans="1:13">
      <c r="A693" t="str">
        <f t="shared" si="50"/>
        <v>徳島大学2692男</v>
      </c>
      <c r="B693" s="149" t="s">
        <v>2345</v>
      </c>
      <c r="C693" s="149">
        <v>2692</v>
      </c>
      <c r="D693" s="149" t="s">
        <v>2356</v>
      </c>
      <c r="E693" s="149" t="s">
        <v>2357</v>
      </c>
      <c r="F693" s="149" t="s">
        <v>260</v>
      </c>
      <c r="G693" s="149" t="s">
        <v>143</v>
      </c>
      <c r="H693" s="151" t="str">
        <f t="shared" si="51"/>
        <v>1992/11/08</v>
      </c>
      <c r="I693" s="149" t="s">
        <v>276</v>
      </c>
      <c r="J693" s="149" t="s">
        <v>3854</v>
      </c>
      <c r="K693" s="101" t="str">
        <f t="shared" si="52"/>
        <v>92</v>
      </c>
      <c r="L693" s="101" t="str">
        <f t="shared" si="53"/>
        <v>11</v>
      </c>
      <c r="M693" s="101" t="str">
        <f t="shared" si="54"/>
        <v>08</v>
      </c>
    </row>
    <row r="694" spans="1:13">
      <c r="A694" t="str">
        <f t="shared" si="50"/>
        <v>徳島大学2693男</v>
      </c>
      <c r="B694" s="149" t="s">
        <v>2345</v>
      </c>
      <c r="C694" s="149">
        <v>2693</v>
      </c>
      <c r="D694" s="149" t="s">
        <v>2358</v>
      </c>
      <c r="E694" s="149" t="s">
        <v>2359</v>
      </c>
      <c r="F694" s="149" t="s">
        <v>260</v>
      </c>
      <c r="G694" s="149" t="s">
        <v>143</v>
      </c>
      <c r="H694" s="151" t="str">
        <f t="shared" si="51"/>
        <v>1994/03/02</v>
      </c>
      <c r="I694" s="149" t="s">
        <v>276</v>
      </c>
      <c r="J694" s="149" t="s">
        <v>671</v>
      </c>
      <c r="K694" s="101" t="str">
        <f t="shared" si="52"/>
        <v>94</v>
      </c>
      <c r="L694" s="101" t="str">
        <f t="shared" si="53"/>
        <v>03</v>
      </c>
      <c r="M694" s="101" t="str">
        <f t="shared" si="54"/>
        <v>02</v>
      </c>
    </row>
    <row r="695" spans="1:13">
      <c r="A695" t="str">
        <f t="shared" si="50"/>
        <v>徳島大学2694男</v>
      </c>
      <c r="B695" s="149" t="s">
        <v>2345</v>
      </c>
      <c r="C695" s="149">
        <v>2694</v>
      </c>
      <c r="D695" s="149" t="s">
        <v>2360</v>
      </c>
      <c r="E695" s="149" t="s">
        <v>2361</v>
      </c>
      <c r="F695" s="149" t="s">
        <v>260</v>
      </c>
      <c r="G695" s="149" t="s">
        <v>143</v>
      </c>
      <c r="H695" s="151" t="str">
        <f t="shared" si="51"/>
        <v>1993/08/15</v>
      </c>
      <c r="I695" s="149" t="s">
        <v>276</v>
      </c>
      <c r="J695" s="149" t="s">
        <v>3855</v>
      </c>
      <c r="K695" s="101" t="str">
        <f t="shared" si="52"/>
        <v>93</v>
      </c>
      <c r="L695" s="101" t="str">
        <f t="shared" si="53"/>
        <v>08</v>
      </c>
      <c r="M695" s="101" t="str">
        <f t="shared" si="54"/>
        <v>15</v>
      </c>
    </row>
    <row r="696" spans="1:13">
      <c r="A696" t="str">
        <f t="shared" si="50"/>
        <v>徳島大学2695男</v>
      </c>
      <c r="B696" s="149" t="s">
        <v>2345</v>
      </c>
      <c r="C696" s="149">
        <v>2695</v>
      </c>
      <c r="D696" s="149" t="s">
        <v>2362</v>
      </c>
      <c r="E696" s="149" t="s">
        <v>2363</v>
      </c>
      <c r="F696" s="149" t="s">
        <v>265</v>
      </c>
      <c r="G696" s="149" t="s">
        <v>143</v>
      </c>
      <c r="H696" s="151" t="str">
        <f t="shared" si="51"/>
        <v>1994/05/14</v>
      </c>
      <c r="I696" s="149" t="s">
        <v>276</v>
      </c>
      <c r="J696" s="149" t="s">
        <v>3856</v>
      </c>
      <c r="K696" s="101" t="str">
        <f t="shared" si="52"/>
        <v>94</v>
      </c>
      <c r="L696" s="101" t="str">
        <f t="shared" si="53"/>
        <v>05</v>
      </c>
      <c r="M696" s="101" t="str">
        <f t="shared" si="54"/>
        <v>14</v>
      </c>
    </row>
    <row r="697" spans="1:13">
      <c r="A697" t="str">
        <f t="shared" si="50"/>
        <v>徳島大学2696男</v>
      </c>
      <c r="B697" s="149" t="s">
        <v>2345</v>
      </c>
      <c r="C697" s="149">
        <v>2696</v>
      </c>
      <c r="D697" s="149" t="s">
        <v>2364</v>
      </c>
      <c r="E697" s="149" t="s">
        <v>2365</v>
      </c>
      <c r="F697" s="149" t="s">
        <v>267</v>
      </c>
      <c r="G697" s="149" t="s">
        <v>143</v>
      </c>
      <c r="H697" s="151" t="str">
        <f t="shared" si="51"/>
        <v>1993/09/05</v>
      </c>
      <c r="I697" s="149" t="s">
        <v>276</v>
      </c>
      <c r="J697" s="149" t="s">
        <v>672</v>
      </c>
      <c r="K697" s="101" t="str">
        <f t="shared" si="52"/>
        <v>93</v>
      </c>
      <c r="L697" s="101" t="str">
        <f t="shared" si="53"/>
        <v>09</v>
      </c>
      <c r="M697" s="101" t="str">
        <f t="shared" si="54"/>
        <v>05</v>
      </c>
    </row>
    <row r="698" spans="1:13">
      <c r="A698" t="str">
        <f t="shared" si="50"/>
        <v>徳島大学2697男</v>
      </c>
      <c r="B698" s="149" t="s">
        <v>2345</v>
      </c>
      <c r="C698" s="149">
        <v>2697</v>
      </c>
      <c r="D698" s="149" t="s">
        <v>2366</v>
      </c>
      <c r="E698" s="149" t="s">
        <v>2367</v>
      </c>
      <c r="F698" s="149" t="s">
        <v>260</v>
      </c>
      <c r="G698" s="149" t="s">
        <v>143</v>
      </c>
      <c r="H698" s="151" t="str">
        <f t="shared" si="51"/>
        <v>1993/11/13</v>
      </c>
      <c r="I698" s="149" t="s">
        <v>276</v>
      </c>
      <c r="J698" s="149" t="s">
        <v>456</v>
      </c>
      <c r="K698" s="101" t="str">
        <f t="shared" si="52"/>
        <v>93</v>
      </c>
      <c r="L698" s="101" t="str">
        <f t="shared" si="53"/>
        <v>11</v>
      </c>
      <c r="M698" s="101" t="str">
        <f t="shared" si="54"/>
        <v>13</v>
      </c>
    </row>
    <row r="699" spans="1:13">
      <c r="A699" t="str">
        <f t="shared" si="50"/>
        <v>徳島大学2698男</v>
      </c>
      <c r="B699" s="149" t="s">
        <v>2345</v>
      </c>
      <c r="C699" s="149">
        <v>2698</v>
      </c>
      <c r="D699" s="149" t="s">
        <v>2368</v>
      </c>
      <c r="E699" s="149" t="s">
        <v>2369</v>
      </c>
      <c r="F699" s="149" t="s">
        <v>265</v>
      </c>
      <c r="G699" s="149" t="s">
        <v>143</v>
      </c>
      <c r="H699" s="151" t="str">
        <f t="shared" si="51"/>
        <v>1994/05/26</v>
      </c>
      <c r="I699" s="149" t="s">
        <v>276</v>
      </c>
      <c r="J699" s="149" t="s">
        <v>3857</v>
      </c>
      <c r="K699" s="101" t="str">
        <f t="shared" si="52"/>
        <v>94</v>
      </c>
      <c r="L699" s="101" t="str">
        <f t="shared" si="53"/>
        <v>05</v>
      </c>
      <c r="M699" s="101" t="str">
        <f t="shared" si="54"/>
        <v>26</v>
      </c>
    </row>
    <row r="700" spans="1:13">
      <c r="A700" t="str">
        <f t="shared" si="50"/>
        <v>徳島大学2699男</v>
      </c>
      <c r="B700" s="149" t="s">
        <v>2345</v>
      </c>
      <c r="C700" s="149">
        <v>2699</v>
      </c>
      <c r="D700" s="149" t="s">
        <v>2370</v>
      </c>
      <c r="E700" s="149" t="s">
        <v>2371</v>
      </c>
      <c r="F700" s="149" t="s">
        <v>265</v>
      </c>
      <c r="G700" s="149" t="s">
        <v>143</v>
      </c>
      <c r="H700" s="151" t="str">
        <f t="shared" si="51"/>
        <v>1994/11/09</v>
      </c>
      <c r="I700" s="149" t="s">
        <v>276</v>
      </c>
      <c r="J700" s="149" t="s">
        <v>927</v>
      </c>
      <c r="K700" s="101" t="str">
        <f t="shared" si="52"/>
        <v>94</v>
      </c>
      <c r="L700" s="101" t="str">
        <f t="shared" si="53"/>
        <v>11</v>
      </c>
      <c r="M700" s="101" t="str">
        <f t="shared" si="54"/>
        <v>09</v>
      </c>
    </row>
    <row r="701" spans="1:13">
      <c r="A701" t="str">
        <f t="shared" si="50"/>
        <v>徳島大学2700男</v>
      </c>
      <c r="B701" s="149" t="s">
        <v>2345</v>
      </c>
      <c r="C701" s="149">
        <v>2700</v>
      </c>
      <c r="D701" s="149" t="s">
        <v>2372</v>
      </c>
      <c r="E701" s="149" t="s">
        <v>2373</v>
      </c>
      <c r="F701" s="149" t="s">
        <v>265</v>
      </c>
      <c r="G701" s="149" t="s">
        <v>143</v>
      </c>
      <c r="H701" s="151" t="str">
        <f t="shared" si="51"/>
        <v>1994/09/11</v>
      </c>
      <c r="I701" s="149" t="s">
        <v>276</v>
      </c>
      <c r="J701" s="149" t="s">
        <v>833</v>
      </c>
      <c r="K701" s="101" t="str">
        <f t="shared" si="52"/>
        <v>94</v>
      </c>
      <c r="L701" s="101" t="str">
        <f t="shared" si="53"/>
        <v>09</v>
      </c>
      <c r="M701" s="101" t="str">
        <f t="shared" si="54"/>
        <v>11</v>
      </c>
    </row>
    <row r="702" spans="1:13">
      <c r="A702" t="str">
        <f t="shared" si="50"/>
        <v>徳島大学2701男</v>
      </c>
      <c r="B702" s="149" t="s">
        <v>2345</v>
      </c>
      <c r="C702" s="149">
        <v>2701</v>
      </c>
      <c r="D702" s="149" t="s">
        <v>2374</v>
      </c>
      <c r="E702" s="149" t="s">
        <v>2375</v>
      </c>
      <c r="F702" s="149" t="s">
        <v>264</v>
      </c>
      <c r="G702" s="149" t="s">
        <v>143</v>
      </c>
      <c r="H702" s="151" t="str">
        <f t="shared" si="51"/>
        <v>1992/07/26</v>
      </c>
      <c r="I702" s="149" t="s">
        <v>276</v>
      </c>
      <c r="J702" s="149" t="s">
        <v>3858</v>
      </c>
      <c r="K702" s="101" t="str">
        <f t="shared" si="52"/>
        <v>92</v>
      </c>
      <c r="L702" s="101" t="str">
        <f t="shared" si="53"/>
        <v>07</v>
      </c>
      <c r="M702" s="101" t="str">
        <f t="shared" si="54"/>
        <v>26</v>
      </c>
    </row>
    <row r="703" spans="1:13">
      <c r="A703" t="str">
        <f t="shared" si="50"/>
        <v>徳島大学2702男</v>
      </c>
      <c r="B703" s="149" t="s">
        <v>2345</v>
      </c>
      <c r="C703" s="149">
        <v>2702</v>
      </c>
      <c r="D703" s="149" t="s">
        <v>2376</v>
      </c>
      <c r="E703" s="149" t="s">
        <v>2377</v>
      </c>
      <c r="F703" s="149" t="s">
        <v>267</v>
      </c>
      <c r="G703" s="149" t="s">
        <v>143</v>
      </c>
      <c r="H703" s="151" t="str">
        <f t="shared" si="51"/>
        <v>1995/03/05</v>
      </c>
      <c r="I703" s="149" t="s">
        <v>276</v>
      </c>
      <c r="J703" s="149" t="s">
        <v>947</v>
      </c>
      <c r="K703" s="101" t="str">
        <f t="shared" si="52"/>
        <v>95</v>
      </c>
      <c r="L703" s="101" t="str">
        <f t="shared" si="53"/>
        <v>03</v>
      </c>
      <c r="M703" s="101" t="str">
        <f t="shared" si="54"/>
        <v>05</v>
      </c>
    </row>
    <row r="704" spans="1:13">
      <c r="A704" t="str">
        <f t="shared" si="50"/>
        <v>徳島大学2703男</v>
      </c>
      <c r="B704" s="149" t="s">
        <v>2345</v>
      </c>
      <c r="C704" s="149">
        <v>2703</v>
      </c>
      <c r="D704" s="149" t="s">
        <v>2378</v>
      </c>
      <c r="E704" s="149" t="s">
        <v>2379</v>
      </c>
      <c r="F704" s="149" t="s">
        <v>267</v>
      </c>
      <c r="G704" s="149" t="s">
        <v>143</v>
      </c>
      <c r="H704" s="151" t="str">
        <f t="shared" si="51"/>
        <v>1994/08/31</v>
      </c>
      <c r="I704" s="149" t="s">
        <v>276</v>
      </c>
      <c r="J704" s="149" t="s">
        <v>544</v>
      </c>
      <c r="K704" s="101" t="str">
        <f t="shared" si="52"/>
        <v>94</v>
      </c>
      <c r="L704" s="101" t="str">
        <f t="shared" si="53"/>
        <v>08</v>
      </c>
      <c r="M704" s="101" t="str">
        <f t="shared" si="54"/>
        <v>31</v>
      </c>
    </row>
    <row r="705" spans="1:13">
      <c r="A705" t="str">
        <f t="shared" si="50"/>
        <v>徳島大学2704男</v>
      </c>
      <c r="B705" s="149" t="s">
        <v>2345</v>
      </c>
      <c r="C705" s="149">
        <v>2704</v>
      </c>
      <c r="D705" s="149" t="s">
        <v>2380</v>
      </c>
      <c r="E705" s="149" t="s">
        <v>2381</v>
      </c>
      <c r="F705" s="149" t="s">
        <v>267</v>
      </c>
      <c r="G705" s="149" t="s">
        <v>143</v>
      </c>
      <c r="H705" s="151" t="str">
        <f t="shared" si="51"/>
        <v>1994/04/02</v>
      </c>
      <c r="I705" s="149" t="s">
        <v>276</v>
      </c>
      <c r="J705" s="149" t="s">
        <v>519</v>
      </c>
      <c r="K705" s="101" t="str">
        <f t="shared" si="52"/>
        <v>94</v>
      </c>
      <c r="L705" s="101" t="str">
        <f t="shared" si="53"/>
        <v>04</v>
      </c>
      <c r="M705" s="101" t="str">
        <f t="shared" si="54"/>
        <v>02</v>
      </c>
    </row>
    <row r="706" spans="1:13">
      <c r="A706" t="str">
        <f t="shared" ref="A706:A769" si="55">B706&amp;C706&amp;G706</f>
        <v>島根大学2705男</v>
      </c>
      <c r="B706" s="149" t="s">
        <v>1062</v>
      </c>
      <c r="C706" s="149">
        <v>2705</v>
      </c>
      <c r="D706" s="149" t="s">
        <v>2382</v>
      </c>
      <c r="E706" s="149" t="s">
        <v>2383</v>
      </c>
      <c r="F706" s="149" t="s">
        <v>293</v>
      </c>
      <c r="G706" s="149" t="s">
        <v>143</v>
      </c>
      <c r="H706" s="151" t="str">
        <f t="shared" si="51"/>
        <v>1992/11/12</v>
      </c>
      <c r="I706" s="149" t="s">
        <v>301</v>
      </c>
      <c r="J706" s="149" t="s">
        <v>3859</v>
      </c>
      <c r="K706" s="101" t="str">
        <f t="shared" si="52"/>
        <v>92</v>
      </c>
      <c r="L706" s="101" t="str">
        <f t="shared" si="53"/>
        <v>11</v>
      </c>
      <c r="M706" s="101" t="str">
        <f t="shared" si="54"/>
        <v>12</v>
      </c>
    </row>
    <row r="707" spans="1:13">
      <c r="A707" t="str">
        <f t="shared" si="55"/>
        <v>島根大学2706男</v>
      </c>
      <c r="B707" s="149" t="s">
        <v>1062</v>
      </c>
      <c r="C707" s="149">
        <v>2706</v>
      </c>
      <c r="D707" s="149" t="s">
        <v>2384</v>
      </c>
      <c r="E707" s="149" t="s">
        <v>2385</v>
      </c>
      <c r="F707" s="149" t="s">
        <v>260</v>
      </c>
      <c r="G707" s="149" t="s">
        <v>143</v>
      </c>
      <c r="H707" s="151" t="str">
        <f t="shared" ref="H707:H770" si="56">"19"&amp;K707&amp;"/"&amp;L707&amp;"/"&amp;M707</f>
        <v>1993/09/02</v>
      </c>
      <c r="I707" s="149" t="s">
        <v>301</v>
      </c>
      <c r="J707" s="149" t="s">
        <v>797</v>
      </c>
      <c r="K707" s="101" t="str">
        <f t="shared" ref="K707:K770" si="57">MID(J707,1,2)</f>
        <v>93</v>
      </c>
      <c r="L707" s="101" t="str">
        <f t="shared" ref="L707:L770" si="58">MID(J707,3,2)</f>
        <v>09</v>
      </c>
      <c r="M707" s="101" t="str">
        <f t="shared" ref="M707:M770" si="59">MID(J707,5,2)</f>
        <v>02</v>
      </c>
    </row>
    <row r="708" spans="1:13">
      <c r="A708" t="str">
        <f t="shared" si="55"/>
        <v>島根大学2707男</v>
      </c>
      <c r="B708" s="149" t="s">
        <v>1062</v>
      </c>
      <c r="C708" s="149">
        <v>2707</v>
      </c>
      <c r="D708" s="149" t="s">
        <v>2386</v>
      </c>
      <c r="E708" s="149" t="s">
        <v>2387</v>
      </c>
      <c r="F708" s="149" t="s">
        <v>265</v>
      </c>
      <c r="G708" s="149" t="s">
        <v>143</v>
      </c>
      <c r="H708" s="151" t="str">
        <f t="shared" si="56"/>
        <v>1993/04/23</v>
      </c>
      <c r="I708" s="149" t="s">
        <v>301</v>
      </c>
      <c r="J708" s="149" t="s">
        <v>552</v>
      </c>
      <c r="K708" s="101" t="str">
        <f t="shared" si="57"/>
        <v>93</v>
      </c>
      <c r="L708" s="101" t="str">
        <f t="shared" si="58"/>
        <v>04</v>
      </c>
      <c r="M708" s="101" t="str">
        <f t="shared" si="59"/>
        <v>23</v>
      </c>
    </row>
    <row r="709" spans="1:13">
      <c r="A709" t="str">
        <f t="shared" si="55"/>
        <v>島根大学2708男</v>
      </c>
      <c r="B709" s="149" t="s">
        <v>1062</v>
      </c>
      <c r="C709" s="149">
        <v>2708</v>
      </c>
      <c r="D709" s="149" t="s">
        <v>2388</v>
      </c>
      <c r="E709" s="149" t="s">
        <v>2389</v>
      </c>
      <c r="F709" s="149" t="s">
        <v>260</v>
      </c>
      <c r="G709" s="149" t="s">
        <v>143</v>
      </c>
      <c r="H709" s="151" t="str">
        <f t="shared" si="56"/>
        <v>1993/11/09</v>
      </c>
      <c r="I709" s="149" t="s">
        <v>301</v>
      </c>
      <c r="J709" s="149" t="s">
        <v>3728</v>
      </c>
      <c r="K709" s="101" t="str">
        <f t="shared" si="57"/>
        <v>93</v>
      </c>
      <c r="L709" s="101" t="str">
        <f t="shared" si="58"/>
        <v>11</v>
      </c>
      <c r="M709" s="101" t="str">
        <f t="shared" si="59"/>
        <v>09</v>
      </c>
    </row>
    <row r="710" spans="1:13">
      <c r="A710" t="str">
        <f t="shared" si="55"/>
        <v>島根大学2709男</v>
      </c>
      <c r="B710" s="149" t="s">
        <v>1062</v>
      </c>
      <c r="C710" s="149">
        <v>2709</v>
      </c>
      <c r="D710" s="149" t="s">
        <v>2390</v>
      </c>
      <c r="E710" s="149" t="s">
        <v>2391</v>
      </c>
      <c r="F710" s="149" t="s">
        <v>293</v>
      </c>
      <c r="G710" s="149" t="s">
        <v>143</v>
      </c>
      <c r="H710" s="151" t="str">
        <f t="shared" si="56"/>
        <v>1991/04/05</v>
      </c>
      <c r="I710" s="149" t="s">
        <v>301</v>
      </c>
      <c r="J710" s="149" t="s">
        <v>3860</v>
      </c>
      <c r="K710" s="101" t="str">
        <f t="shared" si="57"/>
        <v>91</v>
      </c>
      <c r="L710" s="101" t="str">
        <f t="shared" si="58"/>
        <v>04</v>
      </c>
      <c r="M710" s="101" t="str">
        <f t="shared" si="59"/>
        <v>05</v>
      </c>
    </row>
    <row r="711" spans="1:13">
      <c r="A711" t="str">
        <f t="shared" si="55"/>
        <v>島根大学2710男</v>
      </c>
      <c r="B711" s="149" t="s">
        <v>1062</v>
      </c>
      <c r="C711" s="149">
        <v>2710</v>
      </c>
      <c r="D711" s="149" t="s">
        <v>2392</v>
      </c>
      <c r="E711" s="149" t="s">
        <v>2393</v>
      </c>
      <c r="F711" s="149" t="s">
        <v>267</v>
      </c>
      <c r="G711" s="149" t="s">
        <v>143</v>
      </c>
      <c r="H711" s="151" t="str">
        <f t="shared" si="56"/>
        <v>1994/07/04</v>
      </c>
      <c r="I711" s="149" t="s">
        <v>301</v>
      </c>
      <c r="J711" s="149" t="s">
        <v>3822</v>
      </c>
      <c r="K711" s="101" t="str">
        <f t="shared" si="57"/>
        <v>94</v>
      </c>
      <c r="L711" s="101" t="str">
        <f t="shared" si="58"/>
        <v>07</v>
      </c>
      <c r="M711" s="101" t="str">
        <f t="shared" si="59"/>
        <v>04</v>
      </c>
    </row>
    <row r="712" spans="1:13">
      <c r="A712" t="str">
        <f t="shared" si="55"/>
        <v>島根大学2711男</v>
      </c>
      <c r="B712" s="149" t="s">
        <v>1062</v>
      </c>
      <c r="C712" s="149">
        <v>2711</v>
      </c>
      <c r="D712" s="149" t="s">
        <v>2394</v>
      </c>
      <c r="E712" s="149" t="s">
        <v>2395</v>
      </c>
      <c r="F712" s="149" t="s">
        <v>267</v>
      </c>
      <c r="G712" s="149" t="s">
        <v>143</v>
      </c>
      <c r="H712" s="151" t="str">
        <f t="shared" si="56"/>
        <v>1995/10/20</v>
      </c>
      <c r="I712" s="149" t="s">
        <v>301</v>
      </c>
      <c r="J712" s="149" t="s">
        <v>3633</v>
      </c>
      <c r="K712" s="101" t="str">
        <f t="shared" si="57"/>
        <v>95</v>
      </c>
      <c r="L712" s="101" t="str">
        <f t="shared" si="58"/>
        <v>10</v>
      </c>
      <c r="M712" s="101" t="str">
        <f t="shared" si="59"/>
        <v>20</v>
      </c>
    </row>
    <row r="713" spans="1:13">
      <c r="A713" t="str">
        <f t="shared" si="55"/>
        <v>島根大学2712男</v>
      </c>
      <c r="B713" s="149" t="s">
        <v>1062</v>
      </c>
      <c r="C713" s="149">
        <v>2712</v>
      </c>
      <c r="D713" s="149" t="s">
        <v>2396</v>
      </c>
      <c r="E713" s="149" t="s">
        <v>2397</v>
      </c>
      <c r="F713" s="149" t="s">
        <v>267</v>
      </c>
      <c r="G713" s="149" t="s">
        <v>143</v>
      </c>
      <c r="H713" s="151" t="str">
        <f t="shared" si="56"/>
        <v>1994/04/07</v>
      </c>
      <c r="I713" s="149" t="s">
        <v>301</v>
      </c>
      <c r="J713" s="149" t="s">
        <v>3676</v>
      </c>
      <c r="K713" s="101" t="str">
        <f t="shared" si="57"/>
        <v>94</v>
      </c>
      <c r="L713" s="101" t="str">
        <f t="shared" si="58"/>
        <v>04</v>
      </c>
      <c r="M713" s="101" t="str">
        <f t="shared" si="59"/>
        <v>07</v>
      </c>
    </row>
    <row r="714" spans="1:13">
      <c r="A714" t="str">
        <f t="shared" si="55"/>
        <v>島根大学2713男</v>
      </c>
      <c r="B714" s="149" t="s">
        <v>1062</v>
      </c>
      <c r="C714" s="149">
        <v>2713</v>
      </c>
      <c r="D714" s="149" t="s">
        <v>2398</v>
      </c>
      <c r="E714" s="149" t="s">
        <v>2399</v>
      </c>
      <c r="F714" s="149" t="s">
        <v>267</v>
      </c>
      <c r="G714" s="149" t="s">
        <v>143</v>
      </c>
      <c r="H714" s="151" t="str">
        <f t="shared" si="56"/>
        <v>1991/11/12</v>
      </c>
      <c r="I714" s="149" t="s">
        <v>301</v>
      </c>
      <c r="J714" s="149" t="s">
        <v>3861</v>
      </c>
      <c r="K714" s="101" t="str">
        <f t="shared" si="57"/>
        <v>91</v>
      </c>
      <c r="L714" s="101" t="str">
        <f t="shared" si="58"/>
        <v>11</v>
      </c>
      <c r="M714" s="101" t="str">
        <f t="shared" si="59"/>
        <v>12</v>
      </c>
    </row>
    <row r="715" spans="1:13">
      <c r="A715" t="str">
        <f t="shared" si="55"/>
        <v>島根大学2714男</v>
      </c>
      <c r="B715" s="149" t="s">
        <v>1062</v>
      </c>
      <c r="C715" s="149">
        <v>2714</v>
      </c>
      <c r="D715" s="149" t="s">
        <v>2400</v>
      </c>
      <c r="E715" s="149" t="s">
        <v>2401</v>
      </c>
      <c r="F715" s="149" t="s">
        <v>265</v>
      </c>
      <c r="G715" s="149" t="s">
        <v>143</v>
      </c>
      <c r="H715" s="151" t="str">
        <f t="shared" si="56"/>
        <v>1994/05/07</v>
      </c>
      <c r="I715" s="149" t="s">
        <v>301</v>
      </c>
      <c r="J715" s="149" t="s">
        <v>3862</v>
      </c>
      <c r="K715" s="101" t="str">
        <f t="shared" si="57"/>
        <v>94</v>
      </c>
      <c r="L715" s="101" t="str">
        <f t="shared" si="58"/>
        <v>05</v>
      </c>
      <c r="M715" s="101" t="str">
        <f t="shared" si="59"/>
        <v>07</v>
      </c>
    </row>
    <row r="716" spans="1:13">
      <c r="A716" t="str">
        <f t="shared" si="55"/>
        <v>尾道市立大学2715男</v>
      </c>
      <c r="B716" s="149" t="s">
        <v>2402</v>
      </c>
      <c r="C716" s="149">
        <v>2715</v>
      </c>
      <c r="D716" s="149" t="s">
        <v>2403</v>
      </c>
      <c r="E716" s="149" t="s">
        <v>2404</v>
      </c>
      <c r="F716" s="149" t="s">
        <v>267</v>
      </c>
      <c r="G716" s="149" t="s">
        <v>143</v>
      </c>
      <c r="H716" s="151" t="str">
        <f t="shared" si="56"/>
        <v>1994/04/08</v>
      </c>
      <c r="I716" s="149" t="s">
        <v>295</v>
      </c>
      <c r="J716" s="149" t="s">
        <v>400</v>
      </c>
      <c r="K716" s="101" t="str">
        <f t="shared" si="57"/>
        <v>94</v>
      </c>
      <c r="L716" s="101" t="str">
        <f t="shared" si="58"/>
        <v>04</v>
      </c>
      <c r="M716" s="101" t="str">
        <f t="shared" si="59"/>
        <v>08</v>
      </c>
    </row>
    <row r="717" spans="1:13">
      <c r="A717" t="str">
        <f t="shared" si="55"/>
        <v>尾道市立大学2716男</v>
      </c>
      <c r="B717" s="149" t="s">
        <v>2402</v>
      </c>
      <c r="C717" s="149">
        <v>2716</v>
      </c>
      <c r="D717" s="149" t="s">
        <v>2405</v>
      </c>
      <c r="E717" s="149" t="s">
        <v>2406</v>
      </c>
      <c r="F717" s="149" t="s">
        <v>280</v>
      </c>
      <c r="G717" s="149" t="s">
        <v>143</v>
      </c>
      <c r="H717" s="151" t="str">
        <f t="shared" si="56"/>
        <v>1996/01/07</v>
      </c>
      <c r="I717" s="149" t="s">
        <v>295</v>
      </c>
      <c r="J717" s="149" t="s">
        <v>390</v>
      </c>
      <c r="K717" s="101" t="str">
        <f t="shared" si="57"/>
        <v>96</v>
      </c>
      <c r="L717" s="101" t="str">
        <f t="shared" si="58"/>
        <v>01</v>
      </c>
      <c r="M717" s="101" t="str">
        <f t="shared" si="59"/>
        <v>07</v>
      </c>
    </row>
    <row r="718" spans="1:13">
      <c r="A718" t="str">
        <f t="shared" si="55"/>
        <v>岡山大学2717男</v>
      </c>
      <c r="B718" s="149" t="s">
        <v>1963</v>
      </c>
      <c r="C718" s="149">
        <v>2717</v>
      </c>
      <c r="D718" s="149" t="s">
        <v>2407</v>
      </c>
      <c r="E718" s="149" t="s">
        <v>2408</v>
      </c>
      <c r="F718" s="149" t="s">
        <v>262</v>
      </c>
      <c r="G718" s="149" t="s">
        <v>143</v>
      </c>
      <c r="H718" s="151" t="str">
        <f t="shared" si="56"/>
        <v>1991/09/25</v>
      </c>
      <c r="I718" s="149" t="s">
        <v>299</v>
      </c>
      <c r="J718" s="149" t="s">
        <v>3863</v>
      </c>
      <c r="K718" s="101" t="str">
        <f t="shared" si="57"/>
        <v>91</v>
      </c>
      <c r="L718" s="101" t="str">
        <f t="shared" si="58"/>
        <v>09</v>
      </c>
      <c r="M718" s="101" t="str">
        <f t="shared" si="59"/>
        <v>25</v>
      </c>
    </row>
    <row r="719" spans="1:13">
      <c r="A719" t="str">
        <f t="shared" si="55"/>
        <v>岡山大学2718男</v>
      </c>
      <c r="B719" s="149" t="s">
        <v>1963</v>
      </c>
      <c r="C719" s="149">
        <v>2718</v>
      </c>
      <c r="D719" s="149" t="s">
        <v>2409</v>
      </c>
      <c r="E719" s="149" t="s">
        <v>2410</v>
      </c>
      <c r="F719" s="149" t="s">
        <v>262</v>
      </c>
      <c r="G719" s="149" t="s">
        <v>143</v>
      </c>
      <c r="H719" s="151" t="str">
        <f t="shared" si="56"/>
        <v>1991/10/25</v>
      </c>
      <c r="I719" s="149" t="s">
        <v>299</v>
      </c>
      <c r="J719" s="149" t="s">
        <v>3864</v>
      </c>
      <c r="K719" s="101" t="str">
        <f t="shared" si="57"/>
        <v>91</v>
      </c>
      <c r="L719" s="101" t="str">
        <f t="shared" si="58"/>
        <v>10</v>
      </c>
      <c r="M719" s="101" t="str">
        <f t="shared" si="59"/>
        <v>25</v>
      </c>
    </row>
    <row r="720" spans="1:13">
      <c r="A720" t="str">
        <f t="shared" si="55"/>
        <v>岡山大学2719男</v>
      </c>
      <c r="B720" s="149" t="s">
        <v>1963</v>
      </c>
      <c r="C720" s="149">
        <v>2719</v>
      </c>
      <c r="D720" s="149" t="s">
        <v>2411</v>
      </c>
      <c r="E720" s="149" t="s">
        <v>2412</v>
      </c>
      <c r="F720" s="149" t="s">
        <v>262</v>
      </c>
      <c r="G720" s="149" t="s">
        <v>143</v>
      </c>
      <c r="H720" s="151" t="str">
        <f t="shared" si="56"/>
        <v>1991/05/01</v>
      </c>
      <c r="I720" s="149" t="s">
        <v>299</v>
      </c>
      <c r="J720" s="149" t="s">
        <v>3865</v>
      </c>
      <c r="K720" s="101" t="str">
        <f t="shared" si="57"/>
        <v>91</v>
      </c>
      <c r="L720" s="101" t="str">
        <f t="shared" si="58"/>
        <v>05</v>
      </c>
      <c r="M720" s="101" t="str">
        <f t="shared" si="59"/>
        <v>01</v>
      </c>
    </row>
    <row r="721" spans="1:13">
      <c r="A721" t="str">
        <f t="shared" si="55"/>
        <v>岡山大学2720男</v>
      </c>
      <c r="B721" s="149" t="s">
        <v>1963</v>
      </c>
      <c r="C721" s="149">
        <v>2720</v>
      </c>
      <c r="D721" s="149" t="s">
        <v>2413</v>
      </c>
      <c r="E721" s="149" t="s">
        <v>2414</v>
      </c>
      <c r="F721" s="149" t="s">
        <v>264</v>
      </c>
      <c r="G721" s="149" t="s">
        <v>143</v>
      </c>
      <c r="H721" s="151" t="str">
        <f t="shared" si="56"/>
        <v>1993/02/26</v>
      </c>
      <c r="I721" s="149" t="s">
        <v>276</v>
      </c>
      <c r="J721" s="149" t="s">
        <v>3866</v>
      </c>
      <c r="K721" s="101" t="str">
        <f t="shared" si="57"/>
        <v>93</v>
      </c>
      <c r="L721" s="101" t="str">
        <f t="shared" si="58"/>
        <v>02</v>
      </c>
      <c r="M721" s="101" t="str">
        <f t="shared" si="59"/>
        <v>26</v>
      </c>
    </row>
    <row r="722" spans="1:13">
      <c r="A722" t="str">
        <f t="shared" si="55"/>
        <v>岡山大学2721男</v>
      </c>
      <c r="B722" s="149" t="s">
        <v>1963</v>
      </c>
      <c r="C722" s="149">
        <v>2721</v>
      </c>
      <c r="D722" s="149" t="s">
        <v>2415</v>
      </c>
      <c r="E722" s="149" t="s">
        <v>2416</v>
      </c>
      <c r="F722" s="149" t="s">
        <v>264</v>
      </c>
      <c r="G722" s="149" t="s">
        <v>143</v>
      </c>
      <c r="H722" s="151" t="str">
        <f t="shared" si="56"/>
        <v>1991/07/03</v>
      </c>
      <c r="I722" s="149" t="s">
        <v>277</v>
      </c>
      <c r="J722" s="149" t="s">
        <v>3867</v>
      </c>
      <c r="K722" s="101" t="str">
        <f t="shared" si="57"/>
        <v>91</v>
      </c>
      <c r="L722" s="101" t="str">
        <f t="shared" si="58"/>
        <v>07</v>
      </c>
      <c r="M722" s="101" t="str">
        <f t="shared" si="59"/>
        <v>03</v>
      </c>
    </row>
    <row r="723" spans="1:13">
      <c r="A723" t="str">
        <f t="shared" si="55"/>
        <v>岡山大学2722男</v>
      </c>
      <c r="B723" s="149" t="s">
        <v>1963</v>
      </c>
      <c r="C723" s="149">
        <v>2722</v>
      </c>
      <c r="D723" s="149" t="s">
        <v>2417</v>
      </c>
      <c r="E723" s="149" t="s">
        <v>2418</v>
      </c>
      <c r="F723" s="149" t="s">
        <v>260</v>
      </c>
      <c r="G723" s="149" t="s">
        <v>143</v>
      </c>
      <c r="H723" s="151" t="str">
        <f t="shared" si="56"/>
        <v>1994/01/11</v>
      </c>
      <c r="I723" s="149" t="s">
        <v>299</v>
      </c>
      <c r="J723" s="149" t="s">
        <v>785</v>
      </c>
      <c r="K723" s="101" t="str">
        <f t="shared" si="57"/>
        <v>94</v>
      </c>
      <c r="L723" s="101" t="str">
        <f t="shared" si="58"/>
        <v>01</v>
      </c>
      <c r="M723" s="101" t="str">
        <f t="shared" si="59"/>
        <v>11</v>
      </c>
    </row>
    <row r="724" spans="1:13">
      <c r="A724" t="str">
        <f t="shared" si="55"/>
        <v>岡山大学2723男</v>
      </c>
      <c r="B724" s="149" t="s">
        <v>1963</v>
      </c>
      <c r="C724" s="149">
        <v>2723</v>
      </c>
      <c r="D724" s="149" t="s">
        <v>2419</v>
      </c>
      <c r="E724" s="149" t="s">
        <v>2420</v>
      </c>
      <c r="F724" s="149" t="s">
        <v>260</v>
      </c>
      <c r="G724" s="149" t="s">
        <v>143</v>
      </c>
      <c r="H724" s="151" t="str">
        <f t="shared" si="56"/>
        <v>1992/11/03</v>
      </c>
      <c r="I724" s="149" t="s">
        <v>299</v>
      </c>
      <c r="J724" s="149" t="s">
        <v>702</v>
      </c>
      <c r="K724" s="101" t="str">
        <f t="shared" si="57"/>
        <v>92</v>
      </c>
      <c r="L724" s="101" t="str">
        <f t="shared" si="58"/>
        <v>11</v>
      </c>
      <c r="M724" s="101" t="str">
        <f t="shared" si="59"/>
        <v>03</v>
      </c>
    </row>
    <row r="725" spans="1:13">
      <c r="A725" t="str">
        <f t="shared" si="55"/>
        <v>岡山大学2724男</v>
      </c>
      <c r="B725" s="149" t="s">
        <v>1963</v>
      </c>
      <c r="C725" s="149">
        <v>2724</v>
      </c>
      <c r="D725" s="149" t="s">
        <v>2421</v>
      </c>
      <c r="E725" s="149" t="s">
        <v>2422</v>
      </c>
      <c r="F725" s="149" t="s">
        <v>260</v>
      </c>
      <c r="G725" s="149" t="s">
        <v>143</v>
      </c>
      <c r="H725" s="151" t="str">
        <f t="shared" si="56"/>
        <v>1993/05/17</v>
      </c>
      <c r="I725" s="149" t="s">
        <v>299</v>
      </c>
      <c r="J725" s="149" t="s">
        <v>547</v>
      </c>
      <c r="K725" s="101" t="str">
        <f t="shared" si="57"/>
        <v>93</v>
      </c>
      <c r="L725" s="101" t="str">
        <f t="shared" si="58"/>
        <v>05</v>
      </c>
      <c r="M725" s="101" t="str">
        <f t="shared" si="59"/>
        <v>17</v>
      </c>
    </row>
    <row r="726" spans="1:13">
      <c r="A726" t="str">
        <f t="shared" si="55"/>
        <v>岡山大学2725男</v>
      </c>
      <c r="B726" s="149" t="s">
        <v>1963</v>
      </c>
      <c r="C726" s="149">
        <v>2725</v>
      </c>
      <c r="D726" s="149" t="s">
        <v>2423</v>
      </c>
      <c r="E726" s="149" t="s">
        <v>2424</v>
      </c>
      <c r="F726" s="149" t="s">
        <v>260</v>
      </c>
      <c r="G726" s="149" t="s">
        <v>143</v>
      </c>
      <c r="H726" s="151" t="str">
        <f t="shared" si="56"/>
        <v>1993/07/12</v>
      </c>
      <c r="I726" s="149" t="s">
        <v>299</v>
      </c>
      <c r="J726" s="149" t="s">
        <v>3757</v>
      </c>
      <c r="K726" s="101" t="str">
        <f t="shared" si="57"/>
        <v>93</v>
      </c>
      <c r="L726" s="101" t="str">
        <f t="shared" si="58"/>
        <v>07</v>
      </c>
      <c r="M726" s="101" t="str">
        <f t="shared" si="59"/>
        <v>12</v>
      </c>
    </row>
    <row r="727" spans="1:13">
      <c r="A727" t="str">
        <f t="shared" si="55"/>
        <v>岡山大学2726男</v>
      </c>
      <c r="B727" s="149" t="s">
        <v>1963</v>
      </c>
      <c r="C727" s="149">
        <v>2726</v>
      </c>
      <c r="D727" s="149" t="s">
        <v>2425</v>
      </c>
      <c r="E727" s="149" t="s">
        <v>2426</v>
      </c>
      <c r="F727" s="149" t="s">
        <v>260</v>
      </c>
      <c r="G727" s="149" t="s">
        <v>143</v>
      </c>
      <c r="H727" s="151" t="str">
        <f t="shared" si="56"/>
        <v>1993/08/10</v>
      </c>
      <c r="I727" s="149" t="s">
        <v>299</v>
      </c>
      <c r="J727" s="149" t="s">
        <v>903</v>
      </c>
      <c r="K727" s="101" t="str">
        <f t="shared" si="57"/>
        <v>93</v>
      </c>
      <c r="L727" s="101" t="str">
        <f t="shared" si="58"/>
        <v>08</v>
      </c>
      <c r="M727" s="101" t="str">
        <f t="shared" si="59"/>
        <v>10</v>
      </c>
    </row>
    <row r="728" spans="1:13">
      <c r="A728" t="str">
        <f t="shared" si="55"/>
        <v>岡山大学2727男</v>
      </c>
      <c r="B728" s="149" t="s">
        <v>1963</v>
      </c>
      <c r="C728" s="149">
        <v>2727</v>
      </c>
      <c r="D728" s="149" t="s">
        <v>2427</v>
      </c>
      <c r="E728" s="149" t="s">
        <v>2428</v>
      </c>
      <c r="F728" s="149" t="s">
        <v>260</v>
      </c>
      <c r="G728" s="149" t="s">
        <v>143</v>
      </c>
      <c r="H728" s="151" t="str">
        <f t="shared" si="56"/>
        <v>1993/08/02</v>
      </c>
      <c r="I728" s="149" t="s">
        <v>299</v>
      </c>
      <c r="J728" s="149" t="s">
        <v>3868</v>
      </c>
      <c r="K728" s="101" t="str">
        <f t="shared" si="57"/>
        <v>93</v>
      </c>
      <c r="L728" s="101" t="str">
        <f t="shared" si="58"/>
        <v>08</v>
      </c>
      <c r="M728" s="101" t="str">
        <f t="shared" si="59"/>
        <v>02</v>
      </c>
    </row>
    <row r="729" spans="1:13">
      <c r="A729" t="str">
        <f t="shared" si="55"/>
        <v>岡山大学2728男</v>
      </c>
      <c r="B729" s="149" t="s">
        <v>1963</v>
      </c>
      <c r="C729" s="149">
        <v>2728</v>
      </c>
      <c r="D729" s="149" t="s">
        <v>2429</v>
      </c>
      <c r="E729" s="149" t="s">
        <v>2430</v>
      </c>
      <c r="F729" s="149" t="s">
        <v>260</v>
      </c>
      <c r="G729" s="149" t="s">
        <v>143</v>
      </c>
      <c r="H729" s="151" t="str">
        <f t="shared" si="56"/>
        <v>1993/08/27</v>
      </c>
      <c r="I729" s="149" t="s">
        <v>295</v>
      </c>
      <c r="J729" s="149" t="s">
        <v>577</v>
      </c>
      <c r="K729" s="101" t="str">
        <f t="shared" si="57"/>
        <v>93</v>
      </c>
      <c r="L729" s="101" t="str">
        <f t="shared" si="58"/>
        <v>08</v>
      </c>
      <c r="M729" s="101" t="str">
        <f t="shared" si="59"/>
        <v>27</v>
      </c>
    </row>
    <row r="730" spans="1:13">
      <c r="A730" t="str">
        <f t="shared" si="55"/>
        <v>岡山大学2729男</v>
      </c>
      <c r="B730" s="149" t="s">
        <v>1963</v>
      </c>
      <c r="C730" s="149">
        <v>2729</v>
      </c>
      <c r="D730" s="149" t="s">
        <v>2431</v>
      </c>
      <c r="E730" s="149" t="s">
        <v>2432</v>
      </c>
      <c r="F730" s="149" t="s">
        <v>260</v>
      </c>
      <c r="G730" s="149" t="s">
        <v>143</v>
      </c>
      <c r="H730" s="151" t="str">
        <f t="shared" si="56"/>
        <v>1993/05/06</v>
      </c>
      <c r="I730" s="149" t="s">
        <v>295</v>
      </c>
      <c r="J730" s="149" t="s">
        <v>455</v>
      </c>
      <c r="K730" s="101" t="str">
        <f t="shared" si="57"/>
        <v>93</v>
      </c>
      <c r="L730" s="101" t="str">
        <f t="shared" si="58"/>
        <v>05</v>
      </c>
      <c r="M730" s="101" t="str">
        <f t="shared" si="59"/>
        <v>06</v>
      </c>
    </row>
    <row r="731" spans="1:13">
      <c r="A731" t="str">
        <f t="shared" si="55"/>
        <v>岡山大学2730男</v>
      </c>
      <c r="B731" s="149" t="s">
        <v>1963</v>
      </c>
      <c r="C731" s="149">
        <v>2730</v>
      </c>
      <c r="D731" s="149" t="s">
        <v>2433</v>
      </c>
      <c r="E731" s="149" t="s">
        <v>2434</v>
      </c>
      <c r="F731" s="149" t="s">
        <v>260</v>
      </c>
      <c r="G731" s="149" t="s">
        <v>143</v>
      </c>
      <c r="H731" s="151" t="str">
        <f t="shared" si="56"/>
        <v>1993/04/15</v>
      </c>
      <c r="I731" s="149" t="s">
        <v>277</v>
      </c>
      <c r="J731" s="149" t="s">
        <v>3788</v>
      </c>
      <c r="K731" s="101" t="str">
        <f t="shared" si="57"/>
        <v>93</v>
      </c>
      <c r="L731" s="101" t="str">
        <f t="shared" si="58"/>
        <v>04</v>
      </c>
      <c r="M731" s="101" t="str">
        <f t="shared" si="59"/>
        <v>15</v>
      </c>
    </row>
    <row r="732" spans="1:13">
      <c r="A732" t="str">
        <f t="shared" si="55"/>
        <v>岡山大学2731男</v>
      </c>
      <c r="B732" s="149" t="s">
        <v>1963</v>
      </c>
      <c r="C732" s="149">
        <v>2731</v>
      </c>
      <c r="D732" s="149" t="s">
        <v>2435</v>
      </c>
      <c r="E732" s="149" t="s">
        <v>2436</v>
      </c>
      <c r="F732" s="149" t="s">
        <v>260</v>
      </c>
      <c r="G732" s="149" t="s">
        <v>143</v>
      </c>
      <c r="H732" s="151" t="str">
        <f t="shared" si="56"/>
        <v>1993/07/26</v>
      </c>
      <c r="I732" s="149" t="s">
        <v>299</v>
      </c>
      <c r="J732" s="149" t="s">
        <v>889</v>
      </c>
      <c r="K732" s="101" t="str">
        <f t="shared" si="57"/>
        <v>93</v>
      </c>
      <c r="L732" s="101" t="str">
        <f t="shared" si="58"/>
        <v>07</v>
      </c>
      <c r="M732" s="101" t="str">
        <f t="shared" si="59"/>
        <v>26</v>
      </c>
    </row>
    <row r="733" spans="1:13">
      <c r="A733" t="str">
        <f t="shared" si="55"/>
        <v>岡山大学2732男</v>
      </c>
      <c r="B733" s="149" t="s">
        <v>1963</v>
      </c>
      <c r="C733" s="149">
        <v>2732</v>
      </c>
      <c r="D733" s="149" t="s">
        <v>2437</v>
      </c>
      <c r="E733" s="149" t="s">
        <v>2438</v>
      </c>
      <c r="F733" s="149" t="s">
        <v>260</v>
      </c>
      <c r="G733" s="149" t="s">
        <v>143</v>
      </c>
      <c r="H733" s="151" t="str">
        <f t="shared" si="56"/>
        <v>1993/06/13</v>
      </c>
      <c r="I733" s="149" t="s">
        <v>299</v>
      </c>
      <c r="J733" s="149" t="s">
        <v>566</v>
      </c>
      <c r="K733" s="101" t="str">
        <f t="shared" si="57"/>
        <v>93</v>
      </c>
      <c r="L733" s="101" t="str">
        <f t="shared" si="58"/>
        <v>06</v>
      </c>
      <c r="M733" s="101" t="str">
        <f t="shared" si="59"/>
        <v>13</v>
      </c>
    </row>
    <row r="734" spans="1:13">
      <c r="A734" t="str">
        <f t="shared" si="55"/>
        <v>岡山大学2733男</v>
      </c>
      <c r="B734" s="149" t="s">
        <v>1963</v>
      </c>
      <c r="C734" s="149">
        <v>2733</v>
      </c>
      <c r="D734" s="149" t="s">
        <v>2439</v>
      </c>
      <c r="E734" s="149" t="s">
        <v>2440</v>
      </c>
      <c r="F734" s="149" t="s">
        <v>260</v>
      </c>
      <c r="G734" s="149" t="s">
        <v>143</v>
      </c>
      <c r="H734" s="151" t="str">
        <f t="shared" si="56"/>
        <v>1993/04/26</v>
      </c>
      <c r="I734" s="149" t="s">
        <v>276</v>
      </c>
      <c r="J734" s="149" t="s">
        <v>778</v>
      </c>
      <c r="K734" s="101" t="str">
        <f t="shared" si="57"/>
        <v>93</v>
      </c>
      <c r="L734" s="101" t="str">
        <f t="shared" si="58"/>
        <v>04</v>
      </c>
      <c r="M734" s="101" t="str">
        <f t="shared" si="59"/>
        <v>26</v>
      </c>
    </row>
    <row r="735" spans="1:13">
      <c r="A735" t="str">
        <f t="shared" si="55"/>
        <v>岡山大学2734男</v>
      </c>
      <c r="B735" s="149" t="s">
        <v>1963</v>
      </c>
      <c r="C735" s="149">
        <v>2734</v>
      </c>
      <c r="D735" s="149" t="s">
        <v>2441</v>
      </c>
      <c r="E735" s="149" t="s">
        <v>2442</v>
      </c>
      <c r="F735" s="149" t="s">
        <v>260</v>
      </c>
      <c r="G735" s="149" t="s">
        <v>143</v>
      </c>
      <c r="H735" s="151" t="str">
        <f t="shared" si="56"/>
        <v>1993/11/22</v>
      </c>
      <c r="I735" s="149" t="s">
        <v>299</v>
      </c>
      <c r="J735" s="149" t="s">
        <v>3869</v>
      </c>
      <c r="K735" s="101" t="str">
        <f t="shared" si="57"/>
        <v>93</v>
      </c>
      <c r="L735" s="101" t="str">
        <f t="shared" si="58"/>
        <v>11</v>
      </c>
      <c r="M735" s="101" t="str">
        <f t="shared" si="59"/>
        <v>22</v>
      </c>
    </row>
    <row r="736" spans="1:13">
      <c r="A736" t="str">
        <f t="shared" si="55"/>
        <v>岡山大学2735男</v>
      </c>
      <c r="B736" s="149" t="s">
        <v>1963</v>
      </c>
      <c r="C736" s="149">
        <v>2735</v>
      </c>
      <c r="D736" s="149" t="s">
        <v>2443</v>
      </c>
      <c r="E736" s="149" t="s">
        <v>2444</v>
      </c>
      <c r="F736" s="149" t="s">
        <v>260</v>
      </c>
      <c r="G736" s="149" t="s">
        <v>143</v>
      </c>
      <c r="H736" s="151" t="str">
        <f t="shared" si="56"/>
        <v>1993/07/14</v>
      </c>
      <c r="I736" s="149" t="s">
        <v>282</v>
      </c>
      <c r="J736" s="149" t="s">
        <v>546</v>
      </c>
      <c r="K736" s="101" t="str">
        <f t="shared" si="57"/>
        <v>93</v>
      </c>
      <c r="L736" s="101" t="str">
        <f t="shared" si="58"/>
        <v>07</v>
      </c>
      <c r="M736" s="101" t="str">
        <f t="shared" si="59"/>
        <v>14</v>
      </c>
    </row>
    <row r="737" spans="1:13">
      <c r="A737" t="str">
        <f t="shared" si="55"/>
        <v>岡山大学2736男</v>
      </c>
      <c r="B737" s="149" t="s">
        <v>1963</v>
      </c>
      <c r="C737" s="149">
        <v>2736</v>
      </c>
      <c r="D737" s="149" t="s">
        <v>2445</v>
      </c>
      <c r="E737" s="149" t="s">
        <v>2446</v>
      </c>
      <c r="F737" s="149" t="s">
        <v>260</v>
      </c>
      <c r="G737" s="149" t="s">
        <v>143</v>
      </c>
      <c r="H737" s="151" t="str">
        <f t="shared" si="56"/>
        <v>1993/07/17</v>
      </c>
      <c r="I737" s="149" t="s">
        <v>295</v>
      </c>
      <c r="J737" s="149" t="s">
        <v>3807</v>
      </c>
      <c r="K737" s="101" t="str">
        <f t="shared" si="57"/>
        <v>93</v>
      </c>
      <c r="L737" s="101" t="str">
        <f t="shared" si="58"/>
        <v>07</v>
      </c>
      <c r="M737" s="101" t="str">
        <f t="shared" si="59"/>
        <v>17</v>
      </c>
    </row>
    <row r="738" spans="1:13">
      <c r="A738" t="str">
        <f t="shared" si="55"/>
        <v>岡山大学2737男</v>
      </c>
      <c r="B738" s="149" t="s">
        <v>1963</v>
      </c>
      <c r="C738" s="149">
        <v>2737</v>
      </c>
      <c r="D738" s="149" t="s">
        <v>2447</v>
      </c>
      <c r="E738" s="149" t="s">
        <v>2448</v>
      </c>
      <c r="F738" s="149" t="s">
        <v>265</v>
      </c>
      <c r="G738" s="149" t="s">
        <v>143</v>
      </c>
      <c r="H738" s="151" t="str">
        <f t="shared" si="56"/>
        <v>1994/08/10</v>
      </c>
      <c r="I738" s="149" t="s">
        <v>299</v>
      </c>
      <c r="J738" s="149" t="s">
        <v>854</v>
      </c>
      <c r="K738" s="101" t="str">
        <f t="shared" si="57"/>
        <v>94</v>
      </c>
      <c r="L738" s="101" t="str">
        <f t="shared" si="58"/>
        <v>08</v>
      </c>
      <c r="M738" s="101" t="str">
        <f t="shared" si="59"/>
        <v>10</v>
      </c>
    </row>
    <row r="739" spans="1:13">
      <c r="A739" t="str">
        <f t="shared" si="55"/>
        <v>岡山大学2738男</v>
      </c>
      <c r="B739" s="149" t="s">
        <v>1963</v>
      </c>
      <c r="C739" s="149">
        <v>2738</v>
      </c>
      <c r="D739" s="149" t="s">
        <v>2449</v>
      </c>
      <c r="E739" s="149" t="s">
        <v>2450</v>
      </c>
      <c r="F739" s="149" t="s">
        <v>265</v>
      </c>
      <c r="G739" s="149" t="s">
        <v>143</v>
      </c>
      <c r="H739" s="151" t="str">
        <f t="shared" si="56"/>
        <v>1994/09/25</v>
      </c>
      <c r="I739" s="149" t="s">
        <v>299</v>
      </c>
      <c r="J739" s="149" t="s">
        <v>842</v>
      </c>
      <c r="K739" s="101" t="str">
        <f t="shared" si="57"/>
        <v>94</v>
      </c>
      <c r="L739" s="101" t="str">
        <f t="shared" si="58"/>
        <v>09</v>
      </c>
      <c r="M739" s="101" t="str">
        <f t="shared" si="59"/>
        <v>25</v>
      </c>
    </row>
    <row r="740" spans="1:13">
      <c r="A740" t="str">
        <f t="shared" si="55"/>
        <v>岡山大学2739男</v>
      </c>
      <c r="B740" s="149" t="s">
        <v>1963</v>
      </c>
      <c r="C740" s="149">
        <v>2739</v>
      </c>
      <c r="D740" s="149" t="s">
        <v>2451</v>
      </c>
      <c r="E740" s="149" t="s">
        <v>2452</v>
      </c>
      <c r="F740" s="149" t="s">
        <v>265</v>
      </c>
      <c r="G740" s="149" t="s">
        <v>143</v>
      </c>
      <c r="H740" s="151" t="str">
        <f t="shared" si="56"/>
        <v>1994/12/23</v>
      </c>
      <c r="I740" s="149" t="s">
        <v>299</v>
      </c>
      <c r="J740" s="149" t="s">
        <v>945</v>
      </c>
      <c r="K740" s="101" t="str">
        <f t="shared" si="57"/>
        <v>94</v>
      </c>
      <c r="L740" s="101" t="str">
        <f t="shared" si="58"/>
        <v>12</v>
      </c>
      <c r="M740" s="101" t="str">
        <f t="shared" si="59"/>
        <v>23</v>
      </c>
    </row>
    <row r="741" spans="1:13">
      <c r="A741" t="str">
        <f t="shared" si="55"/>
        <v>岡山大学2740男</v>
      </c>
      <c r="B741" s="149" t="s">
        <v>1963</v>
      </c>
      <c r="C741" s="149">
        <v>2740</v>
      </c>
      <c r="D741" s="149" t="s">
        <v>2453</v>
      </c>
      <c r="E741" s="149" t="s">
        <v>2454</v>
      </c>
      <c r="F741" s="149" t="s">
        <v>265</v>
      </c>
      <c r="G741" s="149" t="s">
        <v>143</v>
      </c>
      <c r="H741" s="151" t="str">
        <f t="shared" si="56"/>
        <v>1994/11/18</v>
      </c>
      <c r="I741" s="149" t="s">
        <v>277</v>
      </c>
      <c r="J741" s="149" t="s">
        <v>3870</v>
      </c>
      <c r="K741" s="101" t="str">
        <f t="shared" si="57"/>
        <v>94</v>
      </c>
      <c r="L741" s="101" t="str">
        <f t="shared" si="58"/>
        <v>11</v>
      </c>
      <c r="M741" s="101" t="str">
        <f t="shared" si="59"/>
        <v>18</v>
      </c>
    </row>
    <row r="742" spans="1:13">
      <c r="A742" t="str">
        <f t="shared" si="55"/>
        <v>岡山大学2741男</v>
      </c>
      <c r="B742" s="149" t="s">
        <v>1963</v>
      </c>
      <c r="C742" s="149">
        <v>2741</v>
      </c>
      <c r="D742" s="149" t="s">
        <v>2455</v>
      </c>
      <c r="E742" s="149" t="s">
        <v>2456</v>
      </c>
      <c r="F742" s="149" t="s">
        <v>265</v>
      </c>
      <c r="G742" s="149" t="s">
        <v>143</v>
      </c>
      <c r="H742" s="151" t="str">
        <f t="shared" si="56"/>
        <v>1994/06/05</v>
      </c>
      <c r="I742" s="149" t="s">
        <v>302</v>
      </c>
      <c r="J742" s="149" t="s">
        <v>3739</v>
      </c>
      <c r="K742" s="101" t="str">
        <f t="shared" si="57"/>
        <v>94</v>
      </c>
      <c r="L742" s="101" t="str">
        <f t="shared" si="58"/>
        <v>06</v>
      </c>
      <c r="M742" s="101" t="str">
        <f t="shared" si="59"/>
        <v>05</v>
      </c>
    </row>
    <row r="743" spans="1:13">
      <c r="A743" t="str">
        <f t="shared" si="55"/>
        <v>岡山大学2742男</v>
      </c>
      <c r="B743" s="149" t="s">
        <v>1963</v>
      </c>
      <c r="C743" s="149">
        <v>2742</v>
      </c>
      <c r="D743" s="149" t="s">
        <v>2457</v>
      </c>
      <c r="E743" s="149" t="s">
        <v>2458</v>
      </c>
      <c r="F743" s="149" t="s">
        <v>265</v>
      </c>
      <c r="G743" s="149" t="s">
        <v>143</v>
      </c>
      <c r="H743" s="151" t="str">
        <f t="shared" si="56"/>
        <v>1994/10/31</v>
      </c>
      <c r="I743" s="149" t="s">
        <v>299</v>
      </c>
      <c r="J743" s="149" t="s">
        <v>348</v>
      </c>
      <c r="K743" s="101" t="str">
        <f t="shared" si="57"/>
        <v>94</v>
      </c>
      <c r="L743" s="101" t="str">
        <f t="shared" si="58"/>
        <v>10</v>
      </c>
      <c r="M743" s="101" t="str">
        <f t="shared" si="59"/>
        <v>31</v>
      </c>
    </row>
    <row r="744" spans="1:13">
      <c r="A744" t="str">
        <f t="shared" si="55"/>
        <v>岡山大学2743男</v>
      </c>
      <c r="B744" s="149" t="s">
        <v>1963</v>
      </c>
      <c r="C744" s="149">
        <v>2743</v>
      </c>
      <c r="D744" s="149" t="s">
        <v>2459</v>
      </c>
      <c r="E744" s="149" t="s">
        <v>2460</v>
      </c>
      <c r="F744" s="149" t="s">
        <v>265</v>
      </c>
      <c r="G744" s="149" t="s">
        <v>143</v>
      </c>
      <c r="H744" s="151" t="str">
        <f t="shared" si="56"/>
        <v>1994/07/29</v>
      </c>
      <c r="I744" s="149" t="s">
        <v>299</v>
      </c>
      <c r="J744" s="149" t="s">
        <v>853</v>
      </c>
      <c r="K744" s="101" t="str">
        <f t="shared" si="57"/>
        <v>94</v>
      </c>
      <c r="L744" s="101" t="str">
        <f t="shared" si="58"/>
        <v>07</v>
      </c>
      <c r="M744" s="101" t="str">
        <f t="shared" si="59"/>
        <v>29</v>
      </c>
    </row>
    <row r="745" spans="1:13">
      <c r="A745" t="str">
        <f t="shared" si="55"/>
        <v>岡山大学2744男</v>
      </c>
      <c r="B745" s="149" t="s">
        <v>1963</v>
      </c>
      <c r="C745" s="149">
        <v>2744</v>
      </c>
      <c r="D745" s="149" t="s">
        <v>2461</v>
      </c>
      <c r="E745" s="149" t="s">
        <v>2462</v>
      </c>
      <c r="F745" s="149" t="s">
        <v>265</v>
      </c>
      <c r="G745" s="149" t="s">
        <v>143</v>
      </c>
      <c r="H745" s="151" t="str">
        <f t="shared" si="56"/>
        <v>1993/05/16</v>
      </c>
      <c r="I745" s="149" t="s">
        <v>295</v>
      </c>
      <c r="J745" s="149" t="s">
        <v>432</v>
      </c>
      <c r="K745" s="101" t="str">
        <f t="shared" si="57"/>
        <v>93</v>
      </c>
      <c r="L745" s="101" t="str">
        <f t="shared" si="58"/>
        <v>05</v>
      </c>
      <c r="M745" s="101" t="str">
        <f t="shared" si="59"/>
        <v>16</v>
      </c>
    </row>
    <row r="746" spans="1:13">
      <c r="A746" t="str">
        <f t="shared" si="55"/>
        <v>岡山大学2745男</v>
      </c>
      <c r="B746" s="149" t="s">
        <v>1963</v>
      </c>
      <c r="C746" s="149">
        <v>2745</v>
      </c>
      <c r="D746" s="149" t="s">
        <v>2463</v>
      </c>
      <c r="E746" s="149" t="s">
        <v>2464</v>
      </c>
      <c r="F746" s="149" t="s">
        <v>265</v>
      </c>
      <c r="G746" s="149" t="s">
        <v>143</v>
      </c>
      <c r="H746" s="151" t="str">
        <f t="shared" si="56"/>
        <v>1994/06/16</v>
      </c>
      <c r="I746" s="149" t="s">
        <v>299</v>
      </c>
      <c r="J746" s="149" t="s">
        <v>444</v>
      </c>
      <c r="K746" s="101" t="str">
        <f t="shared" si="57"/>
        <v>94</v>
      </c>
      <c r="L746" s="101" t="str">
        <f t="shared" si="58"/>
        <v>06</v>
      </c>
      <c r="M746" s="101" t="str">
        <f t="shared" si="59"/>
        <v>16</v>
      </c>
    </row>
    <row r="747" spans="1:13">
      <c r="A747" t="str">
        <f t="shared" si="55"/>
        <v>岡山大学2746男</v>
      </c>
      <c r="B747" s="149" t="s">
        <v>1963</v>
      </c>
      <c r="C747" s="149">
        <v>2746</v>
      </c>
      <c r="D747" s="149" t="s">
        <v>2465</v>
      </c>
      <c r="E747" s="149" t="s">
        <v>2466</v>
      </c>
      <c r="F747" s="149" t="s">
        <v>265</v>
      </c>
      <c r="G747" s="149" t="s">
        <v>143</v>
      </c>
      <c r="H747" s="151" t="str">
        <f t="shared" si="56"/>
        <v>1993/09/23</v>
      </c>
      <c r="I747" s="149" t="s">
        <v>282</v>
      </c>
      <c r="J747" s="149" t="s">
        <v>395</v>
      </c>
      <c r="K747" s="101" t="str">
        <f t="shared" si="57"/>
        <v>93</v>
      </c>
      <c r="L747" s="101" t="str">
        <f t="shared" si="58"/>
        <v>09</v>
      </c>
      <c r="M747" s="101" t="str">
        <f t="shared" si="59"/>
        <v>23</v>
      </c>
    </row>
    <row r="748" spans="1:13">
      <c r="A748" t="str">
        <f t="shared" si="55"/>
        <v>岡山大学2747男</v>
      </c>
      <c r="B748" s="149" t="s">
        <v>1963</v>
      </c>
      <c r="C748" s="149">
        <v>2747</v>
      </c>
      <c r="D748" s="149" t="s">
        <v>2467</v>
      </c>
      <c r="E748" s="149" t="s">
        <v>2468</v>
      </c>
      <c r="F748" s="149" t="s">
        <v>265</v>
      </c>
      <c r="G748" s="149" t="s">
        <v>143</v>
      </c>
      <c r="H748" s="151" t="str">
        <f t="shared" si="56"/>
        <v>1994/11/20</v>
      </c>
      <c r="I748" s="149" t="s">
        <v>289</v>
      </c>
      <c r="J748" s="149" t="s">
        <v>3871</v>
      </c>
      <c r="K748" s="101" t="str">
        <f t="shared" si="57"/>
        <v>94</v>
      </c>
      <c r="L748" s="101" t="str">
        <f t="shared" si="58"/>
        <v>11</v>
      </c>
      <c r="M748" s="101" t="str">
        <f t="shared" si="59"/>
        <v>20</v>
      </c>
    </row>
    <row r="749" spans="1:13">
      <c r="A749" t="str">
        <f t="shared" si="55"/>
        <v>岡山大学2748男</v>
      </c>
      <c r="B749" s="149" t="s">
        <v>1963</v>
      </c>
      <c r="C749" s="149">
        <v>2748</v>
      </c>
      <c r="D749" s="149" t="s">
        <v>2469</v>
      </c>
      <c r="E749" s="149" t="s">
        <v>2470</v>
      </c>
      <c r="F749" s="149" t="s">
        <v>265</v>
      </c>
      <c r="G749" s="149" t="s">
        <v>143</v>
      </c>
      <c r="H749" s="151" t="str">
        <f t="shared" si="56"/>
        <v>1994/12/21</v>
      </c>
      <c r="I749" s="149" t="s">
        <v>277</v>
      </c>
      <c r="J749" s="149" t="s">
        <v>437</v>
      </c>
      <c r="K749" s="101" t="str">
        <f t="shared" si="57"/>
        <v>94</v>
      </c>
      <c r="L749" s="101" t="str">
        <f t="shared" si="58"/>
        <v>12</v>
      </c>
      <c r="M749" s="101" t="str">
        <f t="shared" si="59"/>
        <v>21</v>
      </c>
    </row>
    <row r="750" spans="1:13">
      <c r="A750" t="str">
        <f t="shared" si="55"/>
        <v>岡山大学2749男</v>
      </c>
      <c r="B750" s="149" t="s">
        <v>1963</v>
      </c>
      <c r="C750" s="149">
        <v>2749</v>
      </c>
      <c r="D750" s="149" t="s">
        <v>2471</v>
      </c>
      <c r="E750" s="149" t="s">
        <v>2472</v>
      </c>
      <c r="F750" s="149" t="s">
        <v>265</v>
      </c>
      <c r="G750" s="149" t="s">
        <v>143</v>
      </c>
      <c r="H750" s="151" t="str">
        <f t="shared" si="56"/>
        <v>1994/01/10</v>
      </c>
      <c r="I750" s="149" t="s">
        <v>300</v>
      </c>
      <c r="J750" s="149" t="s">
        <v>466</v>
      </c>
      <c r="K750" s="101" t="str">
        <f t="shared" si="57"/>
        <v>94</v>
      </c>
      <c r="L750" s="101" t="str">
        <f t="shared" si="58"/>
        <v>01</v>
      </c>
      <c r="M750" s="101" t="str">
        <f t="shared" si="59"/>
        <v>10</v>
      </c>
    </row>
    <row r="751" spans="1:13">
      <c r="A751" t="str">
        <f t="shared" si="55"/>
        <v>岡山大学2750男</v>
      </c>
      <c r="B751" s="149" t="s">
        <v>1963</v>
      </c>
      <c r="C751" s="149">
        <v>2750</v>
      </c>
      <c r="D751" s="149" t="s">
        <v>2473</v>
      </c>
      <c r="E751" s="149" t="s">
        <v>2474</v>
      </c>
      <c r="F751" s="149" t="s">
        <v>265</v>
      </c>
      <c r="G751" s="149" t="s">
        <v>143</v>
      </c>
      <c r="H751" s="151" t="str">
        <f t="shared" si="56"/>
        <v>1994/10/19</v>
      </c>
      <c r="I751" s="149" t="s">
        <v>299</v>
      </c>
      <c r="J751" s="149" t="s">
        <v>378</v>
      </c>
      <c r="K751" s="101" t="str">
        <f t="shared" si="57"/>
        <v>94</v>
      </c>
      <c r="L751" s="101" t="str">
        <f t="shared" si="58"/>
        <v>10</v>
      </c>
      <c r="M751" s="101" t="str">
        <f t="shared" si="59"/>
        <v>19</v>
      </c>
    </row>
    <row r="752" spans="1:13">
      <c r="A752" t="str">
        <f t="shared" si="55"/>
        <v>岡山大学2751男</v>
      </c>
      <c r="B752" s="149" t="s">
        <v>1963</v>
      </c>
      <c r="C752" s="149">
        <v>2751</v>
      </c>
      <c r="D752" s="149" t="s">
        <v>2475</v>
      </c>
      <c r="E752" s="149" t="s">
        <v>2476</v>
      </c>
      <c r="F752" s="149" t="s">
        <v>265</v>
      </c>
      <c r="G752" s="149" t="s">
        <v>143</v>
      </c>
      <c r="H752" s="151" t="str">
        <f t="shared" si="56"/>
        <v>1994/12/09</v>
      </c>
      <c r="I752" s="149" t="s">
        <v>276</v>
      </c>
      <c r="J752" s="149" t="s">
        <v>585</v>
      </c>
      <c r="K752" s="101" t="str">
        <f t="shared" si="57"/>
        <v>94</v>
      </c>
      <c r="L752" s="101" t="str">
        <f t="shared" si="58"/>
        <v>12</v>
      </c>
      <c r="M752" s="101" t="str">
        <f t="shared" si="59"/>
        <v>09</v>
      </c>
    </row>
    <row r="753" spans="1:13">
      <c r="A753" t="str">
        <f t="shared" si="55"/>
        <v>岡山大学2752男</v>
      </c>
      <c r="B753" s="149" t="s">
        <v>1963</v>
      </c>
      <c r="C753" s="149">
        <v>2752</v>
      </c>
      <c r="D753" s="149" t="s">
        <v>2477</v>
      </c>
      <c r="E753" s="149" t="s">
        <v>2478</v>
      </c>
      <c r="F753" s="149" t="s">
        <v>267</v>
      </c>
      <c r="G753" s="149" t="s">
        <v>143</v>
      </c>
      <c r="H753" s="151" t="str">
        <f t="shared" si="56"/>
        <v>1994/03/16</v>
      </c>
      <c r="I753" s="149" t="s">
        <v>299</v>
      </c>
      <c r="J753" s="149" t="s">
        <v>3872</v>
      </c>
      <c r="K753" s="101" t="str">
        <f t="shared" si="57"/>
        <v>94</v>
      </c>
      <c r="L753" s="101" t="str">
        <f t="shared" si="58"/>
        <v>03</v>
      </c>
      <c r="M753" s="101" t="str">
        <f t="shared" si="59"/>
        <v>16</v>
      </c>
    </row>
    <row r="754" spans="1:13">
      <c r="A754" t="str">
        <f t="shared" si="55"/>
        <v>岡山大学2753男</v>
      </c>
      <c r="B754" s="149" t="s">
        <v>1963</v>
      </c>
      <c r="C754" s="149">
        <v>2753</v>
      </c>
      <c r="D754" s="149" t="s">
        <v>2479</v>
      </c>
      <c r="E754" s="149" t="s">
        <v>2480</v>
      </c>
      <c r="F754" s="149" t="s">
        <v>267</v>
      </c>
      <c r="G754" s="149" t="s">
        <v>143</v>
      </c>
      <c r="H754" s="151" t="str">
        <f t="shared" si="56"/>
        <v>1995/12/19</v>
      </c>
      <c r="I754" s="149" t="s">
        <v>291</v>
      </c>
      <c r="J754" s="149" t="s">
        <v>3873</v>
      </c>
      <c r="K754" s="101" t="str">
        <f t="shared" si="57"/>
        <v>95</v>
      </c>
      <c r="L754" s="101" t="str">
        <f t="shared" si="58"/>
        <v>12</v>
      </c>
      <c r="M754" s="101" t="str">
        <f t="shared" si="59"/>
        <v>19</v>
      </c>
    </row>
    <row r="755" spans="1:13">
      <c r="A755" t="str">
        <f t="shared" si="55"/>
        <v>岡山大学2754男</v>
      </c>
      <c r="B755" s="149" t="s">
        <v>1963</v>
      </c>
      <c r="C755" s="149">
        <v>2754</v>
      </c>
      <c r="D755" s="149" t="s">
        <v>2481</v>
      </c>
      <c r="E755" s="149" t="s">
        <v>2482</v>
      </c>
      <c r="F755" s="149" t="s">
        <v>267</v>
      </c>
      <c r="G755" s="149" t="s">
        <v>143</v>
      </c>
      <c r="H755" s="151" t="str">
        <f t="shared" si="56"/>
        <v>1995/08/28</v>
      </c>
      <c r="I755" s="149" t="s">
        <v>299</v>
      </c>
      <c r="J755" s="149" t="s">
        <v>667</v>
      </c>
      <c r="K755" s="101" t="str">
        <f t="shared" si="57"/>
        <v>95</v>
      </c>
      <c r="L755" s="101" t="str">
        <f t="shared" si="58"/>
        <v>08</v>
      </c>
      <c r="M755" s="101" t="str">
        <f t="shared" si="59"/>
        <v>28</v>
      </c>
    </row>
    <row r="756" spans="1:13">
      <c r="A756" t="str">
        <f t="shared" si="55"/>
        <v>岡山大学2755男</v>
      </c>
      <c r="B756" s="149" t="s">
        <v>1963</v>
      </c>
      <c r="C756" s="149">
        <v>2755</v>
      </c>
      <c r="D756" s="149" t="s">
        <v>2483</v>
      </c>
      <c r="E756" s="149" t="s">
        <v>2484</v>
      </c>
      <c r="F756" s="149" t="s">
        <v>267</v>
      </c>
      <c r="G756" s="149" t="s">
        <v>143</v>
      </c>
      <c r="H756" s="151" t="str">
        <f t="shared" si="56"/>
        <v>1994/04/20</v>
      </c>
      <c r="I756" s="149" t="s">
        <v>289</v>
      </c>
      <c r="J756" s="149" t="s">
        <v>580</v>
      </c>
      <c r="K756" s="101" t="str">
        <f t="shared" si="57"/>
        <v>94</v>
      </c>
      <c r="L756" s="101" t="str">
        <f t="shared" si="58"/>
        <v>04</v>
      </c>
      <c r="M756" s="101" t="str">
        <f t="shared" si="59"/>
        <v>20</v>
      </c>
    </row>
    <row r="757" spans="1:13">
      <c r="A757" t="str">
        <f t="shared" si="55"/>
        <v>岡山大学2756男</v>
      </c>
      <c r="B757" s="149" t="s">
        <v>1963</v>
      </c>
      <c r="C757" s="149">
        <v>2756</v>
      </c>
      <c r="D757" s="149" t="s">
        <v>2485</v>
      </c>
      <c r="E757" s="149" t="s">
        <v>2486</v>
      </c>
      <c r="F757" s="149" t="s">
        <v>267</v>
      </c>
      <c r="G757" s="149" t="s">
        <v>143</v>
      </c>
      <c r="H757" s="151" t="str">
        <f t="shared" si="56"/>
        <v>1995/06/05</v>
      </c>
      <c r="I757" s="149" t="s">
        <v>299</v>
      </c>
      <c r="J757" s="149" t="s">
        <v>845</v>
      </c>
      <c r="K757" s="101" t="str">
        <f t="shared" si="57"/>
        <v>95</v>
      </c>
      <c r="L757" s="101" t="str">
        <f t="shared" si="58"/>
        <v>06</v>
      </c>
      <c r="M757" s="101" t="str">
        <f t="shared" si="59"/>
        <v>05</v>
      </c>
    </row>
    <row r="758" spans="1:13">
      <c r="A758" t="str">
        <f t="shared" si="55"/>
        <v>岡山大学2757男</v>
      </c>
      <c r="B758" s="149" t="s">
        <v>1963</v>
      </c>
      <c r="C758" s="149">
        <v>2757</v>
      </c>
      <c r="D758" s="149" t="s">
        <v>2487</v>
      </c>
      <c r="E758" s="149" t="s">
        <v>2488</v>
      </c>
      <c r="F758" s="149" t="s">
        <v>267</v>
      </c>
      <c r="G758" s="149" t="s">
        <v>143</v>
      </c>
      <c r="H758" s="151" t="str">
        <f t="shared" si="56"/>
        <v>1995/07/10</v>
      </c>
      <c r="I758" s="149" t="s">
        <v>263</v>
      </c>
      <c r="J758" s="149" t="s">
        <v>3874</v>
      </c>
      <c r="K758" s="101" t="str">
        <f t="shared" si="57"/>
        <v>95</v>
      </c>
      <c r="L758" s="101" t="str">
        <f t="shared" si="58"/>
        <v>07</v>
      </c>
      <c r="M758" s="101" t="str">
        <f t="shared" si="59"/>
        <v>10</v>
      </c>
    </row>
    <row r="759" spans="1:13">
      <c r="A759" t="str">
        <f t="shared" si="55"/>
        <v>岡山大学2758男</v>
      </c>
      <c r="B759" s="149" t="s">
        <v>1963</v>
      </c>
      <c r="C759" s="149">
        <v>2758</v>
      </c>
      <c r="D759" s="149" t="s">
        <v>2489</v>
      </c>
      <c r="E759" s="149" t="s">
        <v>2490</v>
      </c>
      <c r="F759" s="149" t="s">
        <v>267</v>
      </c>
      <c r="G759" s="149" t="s">
        <v>143</v>
      </c>
      <c r="H759" s="151" t="str">
        <f t="shared" si="56"/>
        <v>1995/04/27</v>
      </c>
      <c r="I759" s="149" t="s">
        <v>299</v>
      </c>
      <c r="J759" s="149" t="s">
        <v>527</v>
      </c>
      <c r="K759" s="101" t="str">
        <f t="shared" si="57"/>
        <v>95</v>
      </c>
      <c r="L759" s="101" t="str">
        <f t="shared" si="58"/>
        <v>04</v>
      </c>
      <c r="M759" s="101" t="str">
        <f t="shared" si="59"/>
        <v>27</v>
      </c>
    </row>
    <row r="760" spans="1:13">
      <c r="A760" t="str">
        <f t="shared" si="55"/>
        <v>岡山大学2759男</v>
      </c>
      <c r="B760" s="149" t="s">
        <v>1963</v>
      </c>
      <c r="C760" s="149">
        <v>2759</v>
      </c>
      <c r="D760" s="149" t="s">
        <v>2491</v>
      </c>
      <c r="E760" s="149" t="s">
        <v>2492</v>
      </c>
      <c r="F760" s="149" t="s">
        <v>267</v>
      </c>
      <c r="G760" s="149" t="s">
        <v>143</v>
      </c>
      <c r="H760" s="151" t="str">
        <f t="shared" si="56"/>
        <v>1995/04/22</v>
      </c>
      <c r="I760" s="149" t="s">
        <v>299</v>
      </c>
      <c r="J760" s="149" t="s">
        <v>359</v>
      </c>
      <c r="K760" s="101" t="str">
        <f t="shared" si="57"/>
        <v>95</v>
      </c>
      <c r="L760" s="101" t="str">
        <f t="shared" si="58"/>
        <v>04</v>
      </c>
      <c r="M760" s="101" t="str">
        <f t="shared" si="59"/>
        <v>22</v>
      </c>
    </row>
    <row r="761" spans="1:13">
      <c r="A761" t="str">
        <f t="shared" si="55"/>
        <v>岡山大学2760男</v>
      </c>
      <c r="B761" s="149" t="s">
        <v>1963</v>
      </c>
      <c r="C761" s="149">
        <v>2760</v>
      </c>
      <c r="D761" s="149" t="s">
        <v>2493</v>
      </c>
      <c r="E761" s="149" t="s">
        <v>2494</v>
      </c>
      <c r="F761" s="149" t="s">
        <v>267</v>
      </c>
      <c r="G761" s="149" t="s">
        <v>143</v>
      </c>
      <c r="H761" s="151" t="str">
        <f t="shared" si="56"/>
        <v>1994/07/25</v>
      </c>
      <c r="I761" s="149" t="s">
        <v>299</v>
      </c>
      <c r="J761" s="149" t="s">
        <v>3636</v>
      </c>
      <c r="K761" s="101" t="str">
        <f t="shared" si="57"/>
        <v>94</v>
      </c>
      <c r="L761" s="101" t="str">
        <f t="shared" si="58"/>
        <v>07</v>
      </c>
      <c r="M761" s="101" t="str">
        <f t="shared" si="59"/>
        <v>25</v>
      </c>
    </row>
    <row r="762" spans="1:13">
      <c r="A762" t="str">
        <f t="shared" si="55"/>
        <v>岡山大学2761男</v>
      </c>
      <c r="B762" s="149" t="s">
        <v>1963</v>
      </c>
      <c r="C762" s="149">
        <v>2761</v>
      </c>
      <c r="D762" s="149" t="s">
        <v>2495</v>
      </c>
      <c r="E762" s="149" t="s">
        <v>2496</v>
      </c>
      <c r="F762" s="149" t="s">
        <v>267</v>
      </c>
      <c r="G762" s="149" t="s">
        <v>143</v>
      </c>
      <c r="H762" s="151" t="str">
        <f t="shared" si="56"/>
        <v>1996/01/01</v>
      </c>
      <c r="I762" s="149" t="s">
        <v>299</v>
      </c>
      <c r="J762" s="149" t="s">
        <v>3875</v>
      </c>
      <c r="K762" s="101" t="str">
        <f t="shared" si="57"/>
        <v>96</v>
      </c>
      <c r="L762" s="101" t="str">
        <f t="shared" si="58"/>
        <v>01</v>
      </c>
      <c r="M762" s="101" t="str">
        <f t="shared" si="59"/>
        <v>01</v>
      </c>
    </row>
    <row r="763" spans="1:13">
      <c r="A763" t="str">
        <f t="shared" si="55"/>
        <v>岡山大学2762男</v>
      </c>
      <c r="B763" s="149" t="s">
        <v>1963</v>
      </c>
      <c r="C763" s="149">
        <v>2762</v>
      </c>
      <c r="D763" s="149" t="s">
        <v>2497</v>
      </c>
      <c r="E763" s="149" t="s">
        <v>2498</v>
      </c>
      <c r="F763" s="149" t="s">
        <v>267</v>
      </c>
      <c r="G763" s="149" t="s">
        <v>143</v>
      </c>
      <c r="H763" s="151" t="str">
        <f t="shared" si="56"/>
        <v>1994/10/15</v>
      </c>
      <c r="I763" s="149" t="s">
        <v>299</v>
      </c>
      <c r="J763" s="149" t="s">
        <v>3769</v>
      </c>
      <c r="K763" s="101" t="str">
        <f t="shared" si="57"/>
        <v>94</v>
      </c>
      <c r="L763" s="101" t="str">
        <f t="shared" si="58"/>
        <v>10</v>
      </c>
      <c r="M763" s="101" t="str">
        <f t="shared" si="59"/>
        <v>15</v>
      </c>
    </row>
    <row r="764" spans="1:13">
      <c r="A764" t="str">
        <f t="shared" si="55"/>
        <v>岡山大学2763男</v>
      </c>
      <c r="B764" s="149" t="s">
        <v>1963</v>
      </c>
      <c r="C764" s="149">
        <v>2763</v>
      </c>
      <c r="D764" s="149" t="s">
        <v>2499</v>
      </c>
      <c r="E764" s="149" t="s">
        <v>2500</v>
      </c>
      <c r="F764" s="149" t="s">
        <v>267</v>
      </c>
      <c r="G764" s="149" t="s">
        <v>143</v>
      </c>
      <c r="H764" s="151" t="str">
        <f t="shared" si="56"/>
        <v>1995/10/19</v>
      </c>
      <c r="I764" s="149" t="s">
        <v>299</v>
      </c>
      <c r="J764" s="149" t="s">
        <v>792</v>
      </c>
      <c r="K764" s="101" t="str">
        <f t="shared" si="57"/>
        <v>95</v>
      </c>
      <c r="L764" s="101" t="str">
        <f t="shared" si="58"/>
        <v>10</v>
      </c>
      <c r="M764" s="101" t="str">
        <f t="shared" si="59"/>
        <v>19</v>
      </c>
    </row>
    <row r="765" spans="1:13">
      <c r="A765" t="str">
        <f t="shared" si="55"/>
        <v>岡山大学2764男</v>
      </c>
      <c r="B765" s="149" t="s">
        <v>1963</v>
      </c>
      <c r="C765" s="149">
        <v>2764</v>
      </c>
      <c r="D765" s="149" t="s">
        <v>2501</v>
      </c>
      <c r="E765" s="149" t="s">
        <v>2502</v>
      </c>
      <c r="F765" s="149" t="s">
        <v>267</v>
      </c>
      <c r="G765" s="149" t="s">
        <v>143</v>
      </c>
      <c r="H765" s="151" t="str">
        <f t="shared" si="56"/>
        <v>1995/12/05</v>
      </c>
      <c r="I765" s="149" t="s">
        <v>277</v>
      </c>
      <c r="J765" s="149" t="s">
        <v>879</v>
      </c>
      <c r="K765" s="101" t="str">
        <f t="shared" si="57"/>
        <v>95</v>
      </c>
      <c r="L765" s="101" t="str">
        <f t="shared" si="58"/>
        <v>12</v>
      </c>
      <c r="M765" s="101" t="str">
        <f t="shared" si="59"/>
        <v>05</v>
      </c>
    </row>
    <row r="766" spans="1:13">
      <c r="A766" t="str">
        <f t="shared" si="55"/>
        <v>岡山大学2765男</v>
      </c>
      <c r="B766" s="149" t="s">
        <v>1963</v>
      </c>
      <c r="C766" s="149">
        <v>2765</v>
      </c>
      <c r="D766" s="149" t="s">
        <v>2503</v>
      </c>
      <c r="E766" s="149" t="s">
        <v>2504</v>
      </c>
      <c r="F766" s="149" t="s">
        <v>267</v>
      </c>
      <c r="G766" s="149" t="s">
        <v>143</v>
      </c>
      <c r="H766" s="151" t="str">
        <f t="shared" si="56"/>
        <v>1994/04/02</v>
      </c>
      <c r="I766" s="149" t="s">
        <v>299</v>
      </c>
      <c r="J766" s="149" t="s">
        <v>519</v>
      </c>
      <c r="K766" s="101" t="str">
        <f t="shared" si="57"/>
        <v>94</v>
      </c>
      <c r="L766" s="101" t="str">
        <f t="shared" si="58"/>
        <v>04</v>
      </c>
      <c r="M766" s="101" t="str">
        <f t="shared" si="59"/>
        <v>02</v>
      </c>
    </row>
    <row r="767" spans="1:13">
      <c r="A767" t="str">
        <f t="shared" si="55"/>
        <v>岡山大学2766男</v>
      </c>
      <c r="B767" s="149" t="s">
        <v>1963</v>
      </c>
      <c r="C767" s="149">
        <v>2766</v>
      </c>
      <c r="D767" s="149" t="s">
        <v>2505</v>
      </c>
      <c r="E767" s="149" t="s">
        <v>2506</v>
      </c>
      <c r="F767" s="149" t="s">
        <v>267</v>
      </c>
      <c r="G767" s="149" t="s">
        <v>143</v>
      </c>
      <c r="H767" s="151" t="str">
        <f t="shared" si="56"/>
        <v>1995/09/27</v>
      </c>
      <c r="I767" s="149" t="s">
        <v>299</v>
      </c>
      <c r="J767" s="149" t="s">
        <v>501</v>
      </c>
      <c r="K767" s="101" t="str">
        <f t="shared" si="57"/>
        <v>95</v>
      </c>
      <c r="L767" s="101" t="str">
        <f t="shared" si="58"/>
        <v>09</v>
      </c>
      <c r="M767" s="101" t="str">
        <f t="shared" si="59"/>
        <v>27</v>
      </c>
    </row>
    <row r="768" spans="1:13">
      <c r="A768" t="str">
        <f t="shared" si="55"/>
        <v>岡山大学2767男</v>
      </c>
      <c r="B768" s="149" t="s">
        <v>1963</v>
      </c>
      <c r="C768" s="149">
        <v>2767</v>
      </c>
      <c r="D768" s="149" t="s">
        <v>2507</v>
      </c>
      <c r="E768" s="149" t="s">
        <v>2508</v>
      </c>
      <c r="F768" s="149" t="s">
        <v>267</v>
      </c>
      <c r="G768" s="149" t="s">
        <v>143</v>
      </c>
      <c r="H768" s="151" t="str">
        <f t="shared" si="56"/>
        <v>1996/03/29</v>
      </c>
      <c r="I768" s="149" t="s">
        <v>277</v>
      </c>
      <c r="J768" s="149" t="s">
        <v>430</v>
      </c>
      <c r="K768" s="101" t="str">
        <f t="shared" si="57"/>
        <v>96</v>
      </c>
      <c r="L768" s="101" t="str">
        <f t="shared" si="58"/>
        <v>03</v>
      </c>
      <c r="M768" s="101" t="str">
        <f t="shared" si="59"/>
        <v>29</v>
      </c>
    </row>
    <row r="769" spans="1:13">
      <c r="A769" t="str">
        <f t="shared" si="55"/>
        <v>岡山大学2768男</v>
      </c>
      <c r="B769" s="149" t="s">
        <v>1963</v>
      </c>
      <c r="C769" s="149">
        <v>2768</v>
      </c>
      <c r="D769" s="149" t="s">
        <v>2509</v>
      </c>
      <c r="E769" s="149" t="s">
        <v>2510</v>
      </c>
      <c r="F769" s="149" t="s">
        <v>267</v>
      </c>
      <c r="G769" s="149" t="s">
        <v>143</v>
      </c>
      <c r="H769" s="151" t="str">
        <f t="shared" si="56"/>
        <v>1995/07/29</v>
      </c>
      <c r="I769" s="149" t="s">
        <v>299</v>
      </c>
      <c r="J769" s="149" t="s">
        <v>485</v>
      </c>
      <c r="K769" s="101" t="str">
        <f t="shared" si="57"/>
        <v>95</v>
      </c>
      <c r="L769" s="101" t="str">
        <f t="shared" si="58"/>
        <v>07</v>
      </c>
      <c r="M769" s="101" t="str">
        <f t="shared" si="59"/>
        <v>29</v>
      </c>
    </row>
    <row r="770" spans="1:13">
      <c r="A770" t="str">
        <f t="shared" ref="A770:A833" si="60">B770&amp;C770&amp;G770</f>
        <v>岡山大学2769男</v>
      </c>
      <c r="B770" s="149" t="s">
        <v>1963</v>
      </c>
      <c r="C770" s="149">
        <v>2769</v>
      </c>
      <c r="D770" s="149" t="s">
        <v>2511</v>
      </c>
      <c r="E770" s="149" t="s">
        <v>2512</v>
      </c>
      <c r="F770" s="149" t="s">
        <v>267</v>
      </c>
      <c r="G770" s="149" t="s">
        <v>143</v>
      </c>
      <c r="H770" s="151" t="str">
        <f t="shared" si="56"/>
        <v>1995/07/06</v>
      </c>
      <c r="I770" s="149" t="s">
        <v>295</v>
      </c>
      <c r="J770" s="149" t="s">
        <v>793</v>
      </c>
      <c r="K770" s="101" t="str">
        <f t="shared" si="57"/>
        <v>95</v>
      </c>
      <c r="L770" s="101" t="str">
        <f t="shared" si="58"/>
        <v>07</v>
      </c>
      <c r="M770" s="101" t="str">
        <f t="shared" si="59"/>
        <v>06</v>
      </c>
    </row>
    <row r="771" spans="1:13">
      <c r="A771" t="str">
        <f t="shared" si="60"/>
        <v>岡山大学2770男</v>
      </c>
      <c r="B771" s="149" t="s">
        <v>1963</v>
      </c>
      <c r="C771" s="149">
        <v>2770</v>
      </c>
      <c r="D771" s="149" t="s">
        <v>2513</v>
      </c>
      <c r="E771" s="149" t="s">
        <v>2514</v>
      </c>
      <c r="F771" s="149" t="s">
        <v>267</v>
      </c>
      <c r="G771" s="149" t="s">
        <v>143</v>
      </c>
      <c r="H771" s="151" t="str">
        <f t="shared" ref="H771:H834" si="61">"19"&amp;K771&amp;"/"&amp;L771&amp;"/"&amp;M771</f>
        <v>1995/07/12</v>
      </c>
      <c r="I771" s="149" t="s">
        <v>295</v>
      </c>
      <c r="J771" s="149" t="s">
        <v>605</v>
      </c>
      <c r="K771" s="101" t="str">
        <f t="shared" ref="K771:K834" si="62">MID(J771,1,2)</f>
        <v>95</v>
      </c>
      <c r="L771" s="101" t="str">
        <f t="shared" ref="L771:L834" si="63">MID(J771,3,2)</f>
        <v>07</v>
      </c>
      <c r="M771" s="101" t="str">
        <f t="shared" ref="M771:M834" si="64">MID(J771,5,2)</f>
        <v>12</v>
      </c>
    </row>
    <row r="772" spans="1:13">
      <c r="A772" t="str">
        <f t="shared" si="60"/>
        <v>岡山大学2771男</v>
      </c>
      <c r="B772" s="149" t="s">
        <v>1963</v>
      </c>
      <c r="C772" s="149">
        <v>2771</v>
      </c>
      <c r="D772" s="149" t="s">
        <v>2515</v>
      </c>
      <c r="E772" s="149" t="s">
        <v>2516</v>
      </c>
      <c r="F772" s="149" t="s">
        <v>267</v>
      </c>
      <c r="G772" s="149" t="s">
        <v>143</v>
      </c>
      <c r="H772" s="151" t="str">
        <f t="shared" si="61"/>
        <v>1995/07/25</v>
      </c>
      <c r="I772" s="149" t="s">
        <v>276</v>
      </c>
      <c r="J772" s="149" t="s">
        <v>388</v>
      </c>
      <c r="K772" s="101" t="str">
        <f t="shared" si="62"/>
        <v>95</v>
      </c>
      <c r="L772" s="101" t="str">
        <f t="shared" si="63"/>
        <v>07</v>
      </c>
      <c r="M772" s="101" t="str">
        <f t="shared" si="64"/>
        <v>25</v>
      </c>
    </row>
    <row r="773" spans="1:13">
      <c r="A773" t="str">
        <f t="shared" si="60"/>
        <v>岡山大学2772男</v>
      </c>
      <c r="B773" s="149" t="s">
        <v>1963</v>
      </c>
      <c r="C773" s="149">
        <v>2772</v>
      </c>
      <c r="D773" s="149" t="s">
        <v>2517</v>
      </c>
      <c r="E773" s="149" t="s">
        <v>2518</v>
      </c>
      <c r="F773" s="149" t="s">
        <v>267</v>
      </c>
      <c r="G773" s="149" t="s">
        <v>143</v>
      </c>
      <c r="H773" s="151" t="str">
        <f t="shared" si="61"/>
        <v>1995/09/10</v>
      </c>
      <c r="I773" s="149" t="s">
        <v>295</v>
      </c>
      <c r="J773" s="149" t="s">
        <v>363</v>
      </c>
      <c r="K773" s="101" t="str">
        <f t="shared" si="62"/>
        <v>95</v>
      </c>
      <c r="L773" s="101" t="str">
        <f t="shared" si="63"/>
        <v>09</v>
      </c>
      <c r="M773" s="101" t="str">
        <f t="shared" si="64"/>
        <v>10</v>
      </c>
    </row>
    <row r="774" spans="1:13">
      <c r="A774" t="str">
        <f t="shared" si="60"/>
        <v>岡山大学2773男</v>
      </c>
      <c r="B774" s="149" t="s">
        <v>1963</v>
      </c>
      <c r="C774" s="149">
        <v>2773</v>
      </c>
      <c r="D774" s="149" t="s">
        <v>2519</v>
      </c>
      <c r="E774" s="149" t="s">
        <v>2520</v>
      </c>
      <c r="F774" s="149" t="s">
        <v>267</v>
      </c>
      <c r="G774" s="149" t="s">
        <v>143</v>
      </c>
      <c r="H774" s="151" t="str">
        <f t="shared" si="61"/>
        <v>1993/12/07</v>
      </c>
      <c r="I774" s="149" t="s">
        <v>299</v>
      </c>
      <c r="J774" s="149" t="s">
        <v>3876</v>
      </c>
      <c r="K774" s="101" t="str">
        <f t="shared" si="62"/>
        <v>93</v>
      </c>
      <c r="L774" s="101" t="str">
        <f t="shared" si="63"/>
        <v>12</v>
      </c>
      <c r="M774" s="101" t="str">
        <f t="shared" si="64"/>
        <v>07</v>
      </c>
    </row>
    <row r="775" spans="1:13">
      <c r="A775" t="str">
        <f t="shared" si="60"/>
        <v>岡山県立大学2774男</v>
      </c>
      <c r="B775" s="149" t="s">
        <v>2521</v>
      </c>
      <c r="C775" s="149">
        <v>2774</v>
      </c>
      <c r="D775" s="149" t="s">
        <v>2522</v>
      </c>
      <c r="E775" s="149" t="s">
        <v>2523</v>
      </c>
      <c r="F775" s="149" t="s">
        <v>262</v>
      </c>
      <c r="G775" s="149" t="s">
        <v>143</v>
      </c>
      <c r="H775" s="151" t="str">
        <f t="shared" si="61"/>
        <v>1991/08/12</v>
      </c>
      <c r="I775" s="149" t="s">
        <v>299</v>
      </c>
      <c r="J775" s="149" t="s">
        <v>3877</v>
      </c>
      <c r="K775" s="101" t="str">
        <f t="shared" si="62"/>
        <v>91</v>
      </c>
      <c r="L775" s="101" t="str">
        <f t="shared" si="63"/>
        <v>08</v>
      </c>
      <c r="M775" s="101" t="str">
        <f t="shared" si="64"/>
        <v>12</v>
      </c>
    </row>
    <row r="776" spans="1:13">
      <c r="A776" t="str">
        <f t="shared" si="60"/>
        <v>岡山県立大学2775男</v>
      </c>
      <c r="B776" s="149" t="s">
        <v>2521</v>
      </c>
      <c r="C776" s="149">
        <v>2775</v>
      </c>
      <c r="D776" s="149" t="s">
        <v>2524</v>
      </c>
      <c r="E776" s="149" t="s">
        <v>2525</v>
      </c>
      <c r="F776" s="149" t="s">
        <v>260</v>
      </c>
      <c r="G776" s="149" t="s">
        <v>143</v>
      </c>
      <c r="H776" s="151" t="str">
        <f t="shared" si="61"/>
        <v>1993/06/17</v>
      </c>
      <c r="I776" s="149" t="s">
        <v>299</v>
      </c>
      <c r="J776" s="149" t="s">
        <v>3817</v>
      </c>
      <c r="K776" s="101" t="str">
        <f t="shared" si="62"/>
        <v>93</v>
      </c>
      <c r="L776" s="101" t="str">
        <f t="shared" si="63"/>
        <v>06</v>
      </c>
      <c r="M776" s="101" t="str">
        <f t="shared" si="64"/>
        <v>17</v>
      </c>
    </row>
    <row r="777" spans="1:13">
      <c r="A777" t="str">
        <f t="shared" si="60"/>
        <v>岡山県立大学2776男</v>
      </c>
      <c r="B777" s="149" t="s">
        <v>2521</v>
      </c>
      <c r="C777" s="149">
        <v>2776</v>
      </c>
      <c r="D777" s="149" t="s">
        <v>2526</v>
      </c>
      <c r="E777" s="149" t="s">
        <v>2527</v>
      </c>
      <c r="F777" s="149" t="s">
        <v>260</v>
      </c>
      <c r="G777" s="149" t="s">
        <v>143</v>
      </c>
      <c r="H777" s="151" t="str">
        <f t="shared" si="61"/>
        <v>1993/11/10</v>
      </c>
      <c r="I777" s="149" t="s">
        <v>299</v>
      </c>
      <c r="J777" s="149" t="s">
        <v>3878</v>
      </c>
      <c r="K777" s="101" t="str">
        <f t="shared" si="62"/>
        <v>93</v>
      </c>
      <c r="L777" s="101" t="str">
        <f t="shared" si="63"/>
        <v>11</v>
      </c>
      <c r="M777" s="101" t="str">
        <f t="shared" si="64"/>
        <v>10</v>
      </c>
    </row>
    <row r="778" spans="1:13">
      <c r="A778" t="str">
        <f t="shared" si="60"/>
        <v>岡山県立大学2777男</v>
      </c>
      <c r="B778" s="149" t="s">
        <v>2521</v>
      </c>
      <c r="C778" s="149">
        <v>2777</v>
      </c>
      <c r="D778" s="149" t="s">
        <v>2528</v>
      </c>
      <c r="E778" s="149" t="s">
        <v>2529</v>
      </c>
      <c r="F778" s="149" t="s">
        <v>260</v>
      </c>
      <c r="G778" s="149" t="s">
        <v>143</v>
      </c>
      <c r="H778" s="151" t="str">
        <f t="shared" si="61"/>
        <v>1993/09/28</v>
      </c>
      <c r="I778" s="149" t="s">
        <v>299</v>
      </c>
      <c r="J778" s="149" t="s">
        <v>3845</v>
      </c>
      <c r="K778" s="101" t="str">
        <f t="shared" si="62"/>
        <v>93</v>
      </c>
      <c r="L778" s="101" t="str">
        <f t="shared" si="63"/>
        <v>09</v>
      </c>
      <c r="M778" s="101" t="str">
        <f t="shared" si="64"/>
        <v>28</v>
      </c>
    </row>
    <row r="779" spans="1:13">
      <c r="A779" t="str">
        <f t="shared" si="60"/>
        <v>岡山県立大学2778男</v>
      </c>
      <c r="B779" s="149" t="s">
        <v>2521</v>
      </c>
      <c r="C779" s="149">
        <v>2778</v>
      </c>
      <c r="D779" s="149" t="s">
        <v>2530</v>
      </c>
      <c r="E779" s="149" t="s">
        <v>2531</v>
      </c>
      <c r="F779" s="149" t="s">
        <v>265</v>
      </c>
      <c r="G779" s="149" t="s">
        <v>143</v>
      </c>
      <c r="H779" s="151" t="str">
        <f t="shared" si="61"/>
        <v>1994/09/16</v>
      </c>
      <c r="I779" s="149" t="s">
        <v>299</v>
      </c>
      <c r="J779" s="149" t="s">
        <v>770</v>
      </c>
      <c r="K779" s="101" t="str">
        <f t="shared" si="62"/>
        <v>94</v>
      </c>
      <c r="L779" s="101" t="str">
        <f t="shared" si="63"/>
        <v>09</v>
      </c>
      <c r="M779" s="101" t="str">
        <f t="shared" si="64"/>
        <v>16</v>
      </c>
    </row>
    <row r="780" spans="1:13">
      <c r="A780" t="str">
        <f t="shared" si="60"/>
        <v>岡山県立大学2779男</v>
      </c>
      <c r="B780" s="149" t="s">
        <v>2521</v>
      </c>
      <c r="C780" s="149">
        <v>2779</v>
      </c>
      <c r="D780" s="149" t="s">
        <v>2532</v>
      </c>
      <c r="E780" s="149" t="s">
        <v>1</v>
      </c>
      <c r="F780" s="149" t="s">
        <v>265</v>
      </c>
      <c r="G780" s="149" t="s">
        <v>143</v>
      </c>
      <c r="H780" s="151" t="str">
        <f t="shared" si="61"/>
        <v>1994/05/30</v>
      </c>
      <c r="I780" s="149" t="s">
        <v>299</v>
      </c>
      <c r="J780" s="149" t="s">
        <v>438</v>
      </c>
      <c r="K780" s="101" t="str">
        <f t="shared" si="62"/>
        <v>94</v>
      </c>
      <c r="L780" s="101" t="str">
        <f t="shared" si="63"/>
        <v>05</v>
      </c>
      <c r="M780" s="101" t="str">
        <f t="shared" si="64"/>
        <v>30</v>
      </c>
    </row>
    <row r="781" spans="1:13">
      <c r="A781" t="str">
        <f t="shared" si="60"/>
        <v>岡山県立大学2780男</v>
      </c>
      <c r="B781" s="149" t="s">
        <v>2521</v>
      </c>
      <c r="C781" s="149">
        <v>2780</v>
      </c>
      <c r="D781" s="149" t="s">
        <v>2533</v>
      </c>
      <c r="E781" s="149" t="s">
        <v>2534</v>
      </c>
      <c r="F781" s="149" t="s">
        <v>265</v>
      </c>
      <c r="G781" s="149" t="s">
        <v>143</v>
      </c>
      <c r="H781" s="151" t="str">
        <f t="shared" si="61"/>
        <v>1994/10/01</v>
      </c>
      <c r="I781" s="149" t="s">
        <v>299</v>
      </c>
      <c r="J781" s="149" t="s">
        <v>3701</v>
      </c>
      <c r="K781" s="101" t="str">
        <f t="shared" si="62"/>
        <v>94</v>
      </c>
      <c r="L781" s="101" t="str">
        <f t="shared" si="63"/>
        <v>10</v>
      </c>
      <c r="M781" s="101" t="str">
        <f t="shared" si="64"/>
        <v>01</v>
      </c>
    </row>
    <row r="782" spans="1:13">
      <c r="A782" t="str">
        <f t="shared" si="60"/>
        <v>岡山県立大学2781男</v>
      </c>
      <c r="B782" s="149" t="s">
        <v>2521</v>
      </c>
      <c r="C782" s="149">
        <v>2781</v>
      </c>
      <c r="D782" s="149" t="s">
        <v>2535</v>
      </c>
      <c r="E782" s="149" t="s">
        <v>2536</v>
      </c>
      <c r="F782" s="149" t="s">
        <v>267</v>
      </c>
      <c r="G782" s="149" t="s">
        <v>143</v>
      </c>
      <c r="H782" s="151" t="str">
        <f t="shared" si="61"/>
        <v>1996/01/22</v>
      </c>
      <c r="I782" s="149" t="s">
        <v>299</v>
      </c>
      <c r="J782" s="149" t="s">
        <v>353</v>
      </c>
      <c r="K782" s="101" t="str">
        <f t="shared" si="62"/>
        <v>96</v>
      </c>
      <c r="L782" s="101" t="str">
        <f t="shared" si="63"/>
        <v>01</v>
      </c>
      <c r="M782" s="101" t="str">
        <f t="shared" si="64"/>
        <v>22</v>
      </c>
    </row>
    <row r="783" spans="1:13">
      <c r="A783" t="str">
        <f t="shared" si="60"/>
        <v>岡山県立大学2782男</v>
      </c>
      <c r="B783" s="149" t="s">
        <v>2521</v>
      </c>
      <c r="C783" s="149">
        <v>2782</v>
      </c>
      <c r="D783" s="149" t="s">
        <v>2537</v>
      </c>
      <c r="E783" s="149" t="s">
        <v>1237</v>
      </c>
      <c r="F783" s="149" t="s">
        <v>267</v>
      </c>
      <c r="G783" s="149" t="s">
        <v>143</v>
      </c>
      <c r="H783" s="151" t="str">
        <f t="shared" si="61"/>
        <v>1995/05/30</v>
      </c>
      <c r="I783" s="149" t="s">
        <v>299</v>
      </c>
      <c r="J783" s="149" t="s">
        <v>617</v>
      </c>
      <c r="K783" s="101" t="str">
        <f t="shared" si="62"/>
        <v>95</v>
      </c>
      <c r="L783" s="101" t="str">
        <f t="shared" si="63"/>
        <v>05</v>
      </c>
      <c r="M783" s="101" t="str">
        <f t="shared" si="64"/>
        <v>30</v>
      </c>
    </row>
    <row r="784" spans="1:13">
      <c r="A784" t="str">
        <f t="shared" si="60"/>
        <v>岡山県立大学2783男</v>
      </c>
      <c r="B784" s="149" t="s">
        <v>2521</v>
      </c>
      <c r="C784" s="149">
        <v>2783</v>
      </c>
      <c r="D784" s="149" t="s">
        <v>2538</v>
      </c>
      <c r="E784" s="149" t="s">
        <v>2539</v>
      </c>
      <c r="F784" s="149" t="s">
        <v>267</v>
      </c>
      <c r="G784" s="149" t="s">
        <v>143</v>
      </c>
      <c r="H784" s="151" t="str">
        <f t="shared" si="61"/>
        <v>1995/10/30</v>
      </c>
      <c r="I784" s="149" t="s">
        <v>299</v>
      </c>
      <c r="J784" s="149" t="s">
        <v>427</v>
      </c>
      <c r="K784" s="101" t="str">
        <f t="shared" si="62"/>
        <v>95</v>
      </c>
      <c r="L784" s="101" t="str">
        <f t="shared" si="63"/>
        <v>10</v>
      </c>
      <c r="M784" s="101" t="str">
        <f t="shared" si="64"/>
        <v>30</v>
      </c>
    </row>
    <row r="785" spans="1:13">
      <c r="A785" t="str">
        <f t="shared" si="60"/>
        <v>岡山県立大学2784男</v>
      </c>
      <c r="B785" s="149" t="s">
        <v>2521</v>
      </c>
      <c r="C785" s="149">
        <v>2784</v>
      </c>
      <c r="D785" s="149" t="s">
        <v>2540</v>
      </c>
      <c r="E785" s="149" t="s">
        <v>2541</v>
      </c>
      <c r="F785" s="149" t="s">
        <v>267</v>
      </c>
      <c r="G785" s="149" t="s">
        <v>143</v>
      </c>
      <c r="H785" s="151" t="str">
        <f t="shared" si="61"/>
        <v>1995/07/16</v>
      </c>
      <c r="I785" s="149" t="s">
        <v>299</v>
      </c>
      <c r="J785" s="149" t="s">
        <v>361</v>
      </c>
      <c r="K785" s="101" t="str">
        <f t="shared" si="62"/>
        <v>95</v>
      </c>
      <c r="L785" s="101" t="str">
        <f t="shared" si="63"/>
        <v>07</v>
      </c>
      <c r="M785" s="101" t="str">
        <f t="shared" si="64"/>
        <v>16</v>
      </c>
    </row>
    <row r="786" spans="1:13">
      <c r="A786" t="str">
        <f t="shared" si="60"/>
        <v>岡山県立大学2785男</v>
      </c>
      <c r="B786" s="149" t="s">
        <v>2521</v>
      </c>
      <c r="C786" s="149">
        <v>2785</v>
      </c>
      <c r="D786" s="149" t="s">
        <v>2542</v>
      </c>
      <c r="E786" s="149" t="s">
        <v>2543</v>
      </c>
      <c r="F786" s="149" t="s">
        <v>264</v>
      </c>
      <c r="G786" s="149" t="s">
        <v>143</v>
      </c>
      <c r="H786" s="151" t="str">
        <f t="shared" si="61"/>
        <v>1992/08/01</v>
      </c>
      <c r="I786" s="149" t="s">
        <v>299</v>
      </c>
      <c r="J786" s="149" t="s">
        <v>673</v>
      </c>
      <c r="K786" s="101" t="str">
        <f t="shared" si="62"/>
        <v>92</v>
      </c>
      <c r="L786" s="101" t="str">
        <f t="shared" si="63"/>
        <v>08</v>
      </c>
      <c r="M786" s="101" t="str">
        <f t="shared" si="64"/>
        <v>01</v>
      </c>
    </row>
    <row r="787" spans="1:13">
      <c r="A787" t="str">
        <f t="shared" si="60"/>
        <v>広島大学2786男</v>
      </c>
      <c r="B787" s="149" t="s">
        <v>1364</v>
      </c>
      <c r="C787" s="149">
        <v>2786</v>
      </c>
      <c r="D787" s="149" t="s">
        <v>2544</v>
      </c>
      <c r="E787" s="149" t="s">
        <v>2545</v>
      </c>
      <c r="F787" s="149" t="s">
        <v>267</v>
      </c>
      <c r="G787" s="149" t="s">
        <v>143</v>
      </c>
      <c r="H787" s="151" t="str">
        <f t="shared" si="61"/>
        <v>1995/01/01</v>
      </c>
      <c r="I787" s="149" t="s">
        <v>295</v>
      </c>
      <c r="J787" s="149" t="s">
        <v>3879</v>
      </c>
      <c r="K787" s="101" t="str">
        <f t="shared" si="62"/>
        <v>95</v>
      </c>
      <c r="L787" s="101" t="str">
        <f t="shared" si="63"/>
        <v>01</v>
      </c>
      <c r="M787" s="101" t="str">
        <f t="shared" si="64"/>
        <v>01</v>
      </c>
    </row>
    <row r="788" spans="1:13">
      <c r="A788" t="str">
        <f t="shared" si="60"/>
        <v>広島大学2787男</v>
      </c>
      <c r="B788" s="149" t="s">
        <v>1364</v>
      </c>
      <c r="C788" s="149">
        <v>2787</v>
      </c>
      <c r="D788" s="149" t="s">
        <v>2546</v>
      </c>
      <c r="E788" s="149" t="s">
        <v>2547</v>
      </c>
      <c r="F788" s="149" t="s">
        <v>280</v>
      </c>
      <c r="G788" s="149" t="s">
        <v>143</v>
      </c>
      <c r="H788" s="151" t="str">
        <f t="shared" si="61"/>
        <v>1997/02/04</v>
      </c>
      <c r="I788" s="149" t="s">
        <v>295</v>
      </c>
      <c r="J788" s="149" t="s">
        <v>3880</v>
      </c>
      <c r="K788" s="101" t="str">
        <f t="shared" si="62"/>
        <v>97</v>
      </c>
      <c r="L788" s="101" t="str">
        <f t="shared" si="63"/>
        <v>02</v>
      </c>
      <c r="M788" s="101" t="str">
        <f t="shared" si="64"/>
        <v>04</v>
      </c>
    </row>
    <row r="789" spans="1:13">
      <c r="A789" t="str">
        <f t="shared" si="60"/>
        <v>四国学院大学2788男</v>
      </c>
      <c r="B789" s="149" t="s">
        <v>2548</v>
      </c>
      <c r="C789" s="149">
        <v>2788</v>
      </c>
      <c r="D789" s="149" t="s">
        <v>2549</v>
      </c>
      <c r="E789" s="149" t="s">
        <v>2550</v>
      </c>
      <c r="F789" s="149" t="s">
        <v>267</v>
      </c>
      <c r="G789" s="149" t="s">
        <v>143</v>
      </c>
      <c r="H789" s="151" t="str">
        <f t="shared" si="61"/>
        <v>1995/04/02</v>
      </c>
      <c r="I789" s="149" t="s">
        <v>289</v>
      </c>
      <c r="J789" s="149" t="s">
        <v>356</v>
      </c>
      <c r="K789" s="101" t="str">
        <f t="shared" si="62"/>
        <v>95</v>
      </c>
      <c r="L789" s="101" t="str">
        <f t="shared" si="63"/>
        <v>04</v>
      </c>
      <c r="M789" s="101" t="str">
        <f t="shared" si="64"/>
        <v>02</v>
      </c>
    </row>
    <row r="790" spans="1:13">
      <c r="A790" t="str">
        <f t="shared" si="60"/>
        <v>四国学院大学2789男</v>
      </c>
      <c r="B790" s="149" t="s">
        <v>2548</v>
      </c>
      <c r="C790" s="149">
        <v>2789</v>
      </c>
      <c r="D790" s="149" t="s">
        <v>2551</v>
      </c>
      <c r="E790" s="149" t="s">
        <v>2552</v>
      </c>
      <c r="F790" s="149" t="s">
        <v>267</v>
      </c>
      <c r="G790" s="149" t="s">
        <v>143</v>
      </c>
      <c r="H790" s="151" t="str">
        <f t="shared" si="61"/>
        <v>1995/10/16</v>
      </c>
      <c r="I790" s="149" t="s">
        <v>289</v>
      </c>
      <c r="J790" s="149" t="s">
        <v>3738</v>
      </c>
      <c r="K790" s="101" t="str">
        <f t="shared" si="62"/>
        <v>95</v>
      </c>
      <c r="L790" s="101" t="str">
        <f t="shared" si="63"/>
        <v>10</v>
      </c>
      <c r="M790" s="101" t="str">
        <f t="shared" si="64"/>
        <v>16</v>
      </c>
    </row>
    <row r="791" spans="1:13">
      <c r="A791" t="str">
        <f t="shared" si="60"/>
        <v>四国学院大学2790男</v>
      </c>
      <c r="B791" s="149" t="s">
        <v>2548</v>
      </c>
      <c r="C791" s="149">
        <v>2790</v>
      </c>
      <c r="D791" s="149" t="s">
        <v>2553</v>
      </c>
      <c r="E791" s="149" t="s">
        <v>2554</v>
      </c>
      <c r="F791" s="149" t="s">
        <v>267</v>
      </c>
      <c r="G791" s="149" t="s">
        <v>143</v>
      </c>
      <c r="H791" s="151" t="str">
        <f t="shared" si="61"/>
        <v>1995/04/25</v>
      </c>
      <c r="I791" s="149" t="s">
        <v>289</v>
      </c>
      <c r="J791" s="149" t="s">
        <v>3881</v>
      </c>
      <c r="K791" s="101" t="str">
        <f t="shared" si="62"/>
        <v>95</v>
      </c>
      <c r="L791" s="101" t="str">
        <f t="shared" si="63"/>
        <v>04</v>
      </c>
      <c r="M791" s="101" t="str">
        <f t="shared" si="64"/>
        <v>25</v>
      </c>
    </row>
    <row r="792" spans="1:13">
      <c r="A792" t="str">
        <f t="shared" si="60"/>
        <v>鳥取大学2791男</v>
      </c>
      <c r="B792" s="149" t="s">
        <v>2555</v>
      </c>
      <c r="C792" s="149">
        <v>2791</v>
      </c>
      <c r="D792" s="149" t="s">
        <v>2556</v>
      </c>
      <c r="E792" s="149" t="s">
        <v>2557</v>
      </c>
      <c r="F792" s="149" t="s">
        <v>264</v>
      </c>
      <c r="G792" s="149" t="s">
        <v>143</v>
      </c>
      <c r="H792" s="151" t="str">
        <f t="shared" si="61"/>
        <v>1993/03/26</v>
      </c>
      <c r="I792" s="149" t="s">
        <v>302</v>
      </c>
      <c r="J792" s="149" t="s">
        <v>3882</v>
      </c>
      <c r="K792" s="101" t="str">
        <f t="shared" si="62"/>
        <v>93</v>
      </c>
      <c r="L792" s="101" t="str">
        <f t="shared" si="63"/>
        <v>03</v>
      </c>
      <c r="M792" s="101" t="str">
        <f t="shared" si="64"/>
        <v>26</v>
      </c>
    </row>
    <row r="793" spans="1:13">
      <c r="A793" t="str">
        <f t="shared" si="60"/>
        <v>鳥取大学2792男</v>
      </c>
      <c r="B793" s="149" t="s">
        <v>2555</v>
      </c>
      <c r="C793" s="149">
        <v>2792</v>
      </c>
      <c r="D793" s="149" t="s">
        <v>2558</v>
      </c>
      <c r="E793" s="149" t="s">
        <v>2559</v>
      </c>
      <c r="F793" s="149" t="s">
        <v>260</v>
      </c>
      <c r="G793" s="149" t="s">
        <v>143</v>
      </c>
      <c r="H793" s="151" t="str">
        <f t="shared" si="61"/>
        <v>1993/05/19</v>
      </c>
      <c r="I793" s="149" t="s">
        <v>302</v>
      </c>
      <c r="J793" s="149" t="s">
        <v>3668</v>
      </c>
      <c r="K793" s="101" t="str">
        <f t="shared" si="62"/>
        <v>93</v>
      </c>
      <c r="L793" s="101" t="str">
        <f t="shared" si="63"/>
        <v>05</v>
      </c>
      <c r="M793" s="101" t="str">
        <f t="shared" si="64"/>
        <v>19</v>
      </c>
    </row>
    <row r="794" spans="1:13">
      <c r="A794" t="str">
        <f t="shared" si="60"/>
        <v>鳥取大学2793男</v>
      </c>
      <c r="B794" s="149" t="s">
        <v>2555</v>
      </c>
      <c r="C794" s="149">
        <v>2793</v>
      </c>
      <c r="D794" s="149" t="s">
        <v>2560</v>
      </c>
      <c r="E794" s="149" t="s">
        <v>2561</v>
      </c>
      <c r="F794" s="149" t="s">
        <v>265</v>
      </c>
      <c r="G794" s="149" t="s">
        <v>143</v>
      </c>
      <c r="H794" s="151" t="str">
        <f t="shared" si="61"/>
        <v>1993/08/17</v>
      </c>
      <c r="I794" s="149" t="s">
        <v>302</v>
      </c>
      <c r="J794" s="149" t="s">
        <v>3818</v>
      </c>
      <c r="K794" s="101" t="str">
        <f t="shared" si="62"/>
        <v>93</v>
      </c>
      <c r="L794" s="101" t="str">
        <f t="shared" si="63"/>
        <v>08</v>
      </c>
      <c r="M794" s="101" t="str">
        <f t="shared" si="64"/>
        <v>17</v>
      </c>
    </row>
    <row r="795" spans="1:13">
      <c r="A795" t="str">
        <f t="shared" si="60"/>
        <v>鳥取大学2794男</v>
      </c>
      <c r="B795" s="149" t="s">
        <v>2555</v>
      </c>
      <c r="C795" s="149">
        <v>2794</v>
      </c>
      <c r="D795" s="149" t="s">
        <v>2562</v>
      </c>
      <c r="E795" s="149" t="s">
        <v>2563</v>
      </c>
      <c r="F795" s="149" t="s">
        <v>265</v>
      </c>
      <c r="G795" s="149" t="s">
        <v>143</v>
      </c>
      <c r="H795" s="151" t="str">
        <f t="shared" si="61"/>
        <v>1994/10/04</v>
      </c>
      <c r="I795" s="149" t="s">
        <v>302</v>
      </c>
      <c r="J795" s="149" t="s">
        <v>417</v>
      </c>
      <c r="K795" s="101" t="str">
        <f t="shared" si="62"/>
        <v>94</v>
      </c>
      <c r="L795" s="101" t="str">
        <f t="shared" si="63"/>
        <v>10</v>
      </c>
      <c r="M795" s="101" t="str">
        <f t="shared" si="64"/>
        <v>04</v>
      </c>
    </row>
    <row r="796" spans="1:13">
      <c r="A796" t="str">
        <f t="shared" si="60"/>
        <v>鳥取大学2795男</v>
      </c>
      <c r="B796" s="149" t="s">
        <v>2555</v>
      </c>
      <c r="C796" s="149">
        <v>2795</v>
      </c>
      <c r="D796" s="149" t="s">
        <v>2564</v>
      </c>
      <c r="E796" s="149" t="s">
        <v>2565</v>
      </c>
      <c r="F796" s="149" t="s">
        <v>265</v>
      </c>
      <c r="G796" s="149" t="s">
        <v>143</v>
      </c>
      <c r="H796" s="151" t="str">
        <f t="shared" si="61"/>
        <v>1994/11/05</v>
      </c>
      <c r="I796" s="149" t="s">
        <v>302</v>
      </c>
      <c r="J796" s="149" t="s">
        <v>581</v>
      </c>
      <c r="K796" s="101" t="str">
        <f t="shared" si="62"/>
        <v>94</v>
      </c>
      <c r="L796" s="101" t="str">
        <f t="shared" si="63"/>
        <v>11</v>
      </c>
      <c r="M796" s="101" t="str">
        <f t="shared" si="64"/>
        <v>05</v>
      </c>
    </row>
    <row r="797" spans="1:13">
      <c r="A797" t="str">
        <f t="shared" si="60"/>
        <v>鳥取大学2796男</v>
      </c>
      <c r="B797" s="149" t="s">
        <v>2555</v>
      </c>
      <c r="C797" s="149">
        <v>2796</v>
      </c>
      <c r="D797" s="149" t="s">
        <v>2566</v>
      </c>
      <c r="E797" s="149" t="s">
        <v>2567</v>
      </c>
      <c r="F797" s="149" t="s">
        <v>265</v>
      </c>
      <c r="G797" s="149" t="s">
        <v>143</v>
      </c>
      <c r="H797" s="151" t="str">
        <f t="shared" si="61"/>
        <v>1994/01/20</v>
      </c>
      <c r="I797" s="149" t="s">
        <v>302</v>
      </c>
      <c r="J797" s="149" t="s">
        <v>457</v>
      </c>
      <c r="K797" s="101" t="str">
        <f t="shared" si="62"/>
        <v>94</v>
      </c>
      <c r="L797" s="101" t="str">
        <f t="shared" si="63"/>
        <v>01</v>
      </c>
      <c r="M797" s="101" t="str">
        <f t="shared" si="64"/>
        <v>20</v>
      </c>
    </row>
    <row r="798" spans="1:13">
      <c r="A798" t="str">
        <f t="shared" si="60"/>
        <v>鳥取大学2797男</v>
      </c>
      <c r="B798" s="149" t="s">
        <v>2555</v>
      </c>
      <c r="C798" s="149">
        <v>2797</v>
      </c>
      <c r="D798" s="149" t="s">
        <v>2568</v>
      </c>
      <c r="E798" s="149" t="s">
        <v>2569</v>
      </c>
      <c r="F798" s="149" t="s">
        <v>265</v>
      </c>
      <c r="G798" s="149" t="s">
        <v>143</v>
      </c>
      <c r="H798" s="151" t="str">
        <f t="shared" si="61"/>
        <v>1994/05/27</v>
      </c>
      <c r="I798" s="149" t="s">
        <v>302</v>
      </c>
      <c r="J798" s="149" t="s">
        <v>3736</v>
      </c>
      <c r="K798" s="101" t="str">
        <f t="shared" si="62"/>
        <v>94</v>
      </c>
      <c r="L798" s="101" t="str">
        <f t="shared" si="63"/>
        <v>05</v>
      </c>
      <c r="M798" s="101" t="str">
        <f t="shared" si="64"/>
        <v>27</v>
      </c>
    </row>
    <row r="799" spans="1:13">
      <c r="A799" t="str">
        <f t="shared" si="60"/>
        <v>鳥取大学2798男</v>
      </c>
      <c r="B799" s="149" t="s">
        <v>2555</v>
      </c>
      <c r="C799" s="149">
        <v>2798</v>
      </c>
      <c r="D799" s="149" t="s">
        <v>2570</v>
      </c>
      <c r="E799" s="149" t="s">
        <v>2571</v>
      </c>
      <c r="F799" s="149" t="s">
        <v>265</v>
      </c>
      <c r="G799" s="149" t="s">
        <v>143</v>
      </c>
      <c r="H799" s="151" t="str">
        <f t="shared" si="61"/>
        <v>1994/05/16</v>
      </c>
      <c r="I799" s="149" t="s">
        <v>302</v>
      </c>
      <c r="J799" s="149" t="s">
        <v>791</v>
      </c>
      <c r="K799" s="101" t="str">
        <f t="shared" si="62"/>
        <v>94</v>
      </c>
      <c r="L799" s="101" t="str">
        <f t="shared" si="63"/>
        <v>05</v>
      </c>
      <c r="M799" s="101" t="str">
        <f t="shared" si="64"/>
        <v>16</v>
      </c>
    </row>
    <row r="800" spans="1:13">
      <c r="A800" t="str">
        <f t="shared" si="60"/>
        <v>鳥取大学2799男</v>
      </c>
      <c r="B800" s="149" t="s">
        <v>2555</v>
      </c>
      <c r="C800" s="149">
        <v>2799</v>
      </c>
      <c r="D800" s="149" t="s">
        <v>2572</v>
      </c>
      <c r="E800" s="149" t="s">
        <v>2573</v>
      </c>
      <c r="F800" s="149" t="s">
        <v>267</v>
      </c>
      <c r="G800" s="149" t="s">
        <v>143</v>
      </c>
      <c r="H800" s="151" t="str">
        <f t="shared" si="61"/>
        <v>1995/05/30</v>
      </c>
      <c r="I800" s="149" t="s">
        <v>302</v>
      </c>
      <c r="J800" s="149" t="s">
        <v>617</v>
      </c>
      <c r="K800" s="101" t="str">
        <f t="shared" si="62"/>
        <v>95</v>
      </c>
      <c r="L800" s="101" t="str">
        <f t="shared" si="63"/>
        <v>05</v>
      </c>
      <c r="M800" s="101" t="str">
        <f t="shared" si="64"/>
        <v>30</v>
      </c>
    </row>
    <row r="801" spans="1:13">
      <c r="A801" t="str">
        <f t="shared" si="60"/>
        <v>鳥取大学2800男</v>
      </c>
      <c r="B801" s="149" t="s">
        <v>2555</v>
      </c>
      <c r="C801" s="149">
        <v>2800</v>
      </c>
      <c r="D801" s="149" t="s">
        <v>2574</v>
      </c>
      <c r="E801" s="149" t="s">
        <v>2575</v>
      </c>
      <c r="F801" s="149" t="s">
        <v>267</v>
      </c>
      <c r="G801" s="149" t="s">
        <v>143</v>
      </c>
      <c r="H801" s="151" t="str">
        <f t="shared" si="61"/>
        <v>1996/02/28</v>
      </c>
      <c r="I801" s="149" t="s">
        <v>302</v>
      </c>
      <c r="J801" s="149" t="s">
        <v>601</v>
      </c>
      <c r="K801" s="101" t="str">
        <f t="shared" si="62"/>
        <v>96</v>
      </c>
      <c r="L801" s="101" t="str">
        <f t="shared" si="63"/>
        <v>02</v>
      </c>
      <c r="M801" s="101" t="str">
        <f t="shared" si="64"/>
        <v>28</v>
      </c>
    </row>
    <row r="802" spans="1:13">
      <c r="A802" t="str">
        <f t="shared" si="60"/>
        <v>鳥取大学2801男</v>
      </c>
      <c r="B802" s="149" t="s">
        <v>2555</v>
      </c>
      <c r="C802" s="149">
        <v>2801</v>
      </c>
      <c r="D802" s="149" t="s">
        <v>2576</v>
      </c>
      <c r="E802" s="149" t="s">
        <v>2577</v>
      </c>
      <c r="F802" s="149" t="s">
        <v>267</v>
      </c>
      <c r="G802" s="149" t="s">
        <v>143</v>
      </c>
      <c r="H802" s="151" t="str">
        <f t="shared" si="61"/>
        <v>1995/05/09</v>
      </c>
      <c r="I802" s="149" t="s">
        <v>302</v>
      </c>
      <c r="J802" s="149" t="s">
        <v>535</v>
      </c>
      <c r="K802" s="101" t="str">
        <f t="shared" si="62"/>
        <v>95</v>
      </c>
      <c r="L802" s="101" t="str">
        <f t="shared" si="63"/>
        <v>05</v>
      </c>
      <c r="M802" s="101" t="str">
        <f t="shared" si="64"/>
        <v>09</v>
      </c>
    </row>
    <row r="803" spans="1:13">
      <c r="A803" t="str">
        <f t="shared" si="60"/>
        <v>鳥取大学2802男</v>
      </c>
      <c r="B803" s="149" t="s">
        <v>2555</v>
      </c>
      <c r="C803" s="149">
        <v>2802</v>
      </c>
      <c r="D803" s="149" t="s">
        <v>2578</v>
      </c>
      <c r="E803" s="149" t="s">
        <v>2579</v>
      </c>
      <c r="F803" s="149" t="s">
        <v>267</v>
      </c>
      <c r="G803" s="149" t="s">
        <v>143</v>
      </c>
      <c r="H803" s="151" t="str">
        <f t="shared" si="61"/>
        <v>1995/10/01</v>
      </c>
      <c r="I803" s="149" t="s">
        <v>302</v>
      </c>
      <c r="J803" s="149" t="s">
        <v>629</v>
      </c>
      <c r="K803" s="101" t="str">
        <f t="shared" si="62"/>
        <v>95</v>
      </c>
      <c r="L803" s="101" t="str">
        <f t="shared" si="63"/>
        <v>10</v>
      </c>
      <c r="M803" s="101" t="str">
        <f t="shared" si="64"/>
        <v>01</v>
      </c>
    </row>
    <row r="804" spans="1:13">
      <c r="A804" t="str">
        <f t="shared" si="60"/>
        <v>鳥取大学2803男</v>
      </c>
      <c r="B804" s="149" t="s">
        <v>2555</v>
      </c>
      <c r="C804" s="149">
        <v>2803</v>
      </c>
      <c r="D804" s="149" t="s">
        <v>2580</v>
      </c>
      <c r="E804" s="149" t="s">
        <v>2581</v>
      </c>
      <c r="F804" s="149" t="s">
        <v>267</v>
      </c>
      <c r="G804" s="149" t="s">
        <v>143</v>
      </c>
      <c r="H804" s="151" t="str">
        <f t="shared" si="61"/>
        <v>1995/04/03</v>
      </c>
      <c r="I804" s="149" t="s">
        <v>302</v>
      </c>
      <c r="J804" s="149" t="s">
        <v>492</v>
      </c>
      <c r="K804" s="101" t="str">
        <f t="shared" si="62"/>
        <v>95</v>
      </c>
      <c r="L804" s="101" t="str">
        <f t="shared" si="63"/>
        <v>04</v>
      </c>
      <c r="M804" s="101" t="str">
        <f t="shared" si="64"/>
        <v>03</v>
      </c>
    </row>
    <row r="805" spans="1:13">
      <c r="A805" t="str">
        <f t="shared" si="60"/>
        <v>鳥取大学2804男</v>
      </c>
      <c r="B805" s="149" t="s">
        <v>2555</v>
      </c>
      <c r="C805" s="149">
        <v>2804</v>
      </c>
      <c r="D805" s="149" t="s">
        <v>2582</v>
      </c>
      <c r="E805" s="149" t="s">
        <v>2583</v>
      </c>
      <c r="F805" s="149" t="s">
        <v>267</v>
      </c>
      <c r="G805" s="149" t="s">
        <v>143</v>
      </c>
      <c r="H805" s="151" t="str">
        <f t="shared" si="61"/>
        <v>1995/09/20</v>
      </c>
      <c r="I805" s="149" t="s">
        <v>302</v>
      </c>
      <c r="J805" s="149" t="s">
        <v>3815</v>
      </c>
      <c r="K805" s="101" t="str">
        <f t="shared" si="62"/>
        <v>95</v>
      </c>
      <c r="L805" s="101" t="str">
        <f t="shared" si="63"/>
        <v>09</v>
      </c>
      <c r="M805" s="101" t="str">
        <f t="shared" si="64"/>
        <v>20</v>
      </c>
    </row>
    <row r="806" spans="1:13">
      <c r="A806" t="str">
        <f t="shared" si="60"/>
        <v>鳥取大学2805男</v>
      </c>
      <c r="B806" s="149" t="s">
        <v>2555</v>
      </c>
      <c r="C806" s="149">
        <v>2805</v>
      </c>
      <c r="D806" s="149" t="s">
        <v>2584</v>
      </c>
      <c r="E806" s="149" t="s">
        <v>2585</v>
      </c>
      <c r="F806" s="149" t="s">
        <v>267</v>
      </c>
      <c r="G806" s="149" t="s">
        <v>143</v>
      </c>
      <c r="H806" s="151" t="str">
        <f t="shared" si="61"/>
        <v>1995/05/17</v>
      </c>
      <c r="I806" s="149" t="s">
        <v>302</v>
      </c>
      <c r="J806" s="149" t="s">
        <v>428</v>
      </c>
      <c r="K806" s="101" t="str">
        <f t="shared" si="62"/>
        <v>95</v>
      </c>
      <c r="L806" s="101" t="str">
        <f t="shared" si="63"/>
        <v>05</v>
      </c>
      <c r="M806" s="101" t="str">
        <f t="shared" si="64"/>
        <v>17</v>
      </c>
    </row>
    <row r="807" spans="1:13">
      <c r="A807" t="str">
        <f t="shared" si="60"/>
        <v>鳥取大学2806男</v>
      </c>
      <c r="B807" s="149" t="s">
        <v>2555</v>
      </c>
      <c r="C807" s="149">
        <v>2806</v>
      </c>
      <c r="D807" s="149" t="s">
        <v>2586</v>
      </c>
      <c r="E807" s="149" t="s">
        <v>2587</v>
      </c>
      <c r="F807" s="149" t="s">
        <v>267</v>
      </c>
      <c r="G807" s="149" t="s">
        <v>143</v>
      </c>
      <c r="H807" s="151" t="str">
        <f t="shared" si="61"/>
        <v>1994/04/24</v>
      </c>
      <c r="I807" s="149" t="s">
        <v>302</v>
      </c>
      <c r="J807" s="149" t="s">
        <v>773</v>
      </c>
      <c r="K807" s="101" t="str">
        <f t="shared" si="62"/>
        <v>94</v>
      </c>
      <c r="L807" s="101" t="str">
        <f t="shared" si="63"/>
        <v>04</v>
      </c>
      <c r="M807" s="101" t="str">
        <f t="shared" si="64"/>
        <v>24</v>
      </c>
    </row>
    <row r="808" spans="1:13">
      <c r="A808" t="str">
        <f t="shared" si="60"/>
        <v>鳥取大学2807男</v>
      </c>
      <c r="B808" s="149" t="s">
        <v>2555</v>
      </c>
      <c r="C808" s="149">
        <v>2807</v>
      </c>
      <c r="D808" s="149" t="s">
        <v>2588</v>
      </c>
      <c r="E808" s="149" t="s">
        <v>2589</v>
      </c>
      <c r="F808" s="149" t="s">
        <v>267</v>
      </c>
      <c r="G808" s="149" t="s">
        <v>143</v>
      </c>
      <c r="H808" s="151" t="str">
        <f t="shared" si="61"/>
        <v>1994/07/10</v>
      </c>
      <c r="I808" s="149" t="s">
        <v>302</v>
      </c>
      <c r="J808" s="149" t="s">
        <v>906</v>
      </c>
      <c r="K808" s="101" t="str">
        <f t="shared" si="62"/>
        <v>94</v>
      </c>
      <c r="L808" s="101" t="str">
        <f t="shared" si="63"/>
        <v>07</v>
      </c>
      <c r="M808" s="101" t="str">
        <f t="shared" si="64"/>
        <v>10</v>
      </c>
    </row>
    <row r="809" spans="1:13">
      <c r="A809" t="str">
        <f t="shared" si="60"/>
        <v>鳥取大学2808男</v>
      </c>
      <c r="B809" s="149" t="s">
        <v>2555</v>
      </c>
      <c r="C809" s="149">
        <v>2808</v>
      </c>
      <c r="D809" s="149" t="s">
        <v>2590</v>
      </c>
      <c r="E809" s="149" t="s">
        <v>2591</v>
      </c>
      <c r="F809" s="149" t="s">
        <v>293</v>
      </c>
      <c r="G809" s="149" t="s">
        <v>143</v>
      </c>
      <c r="H809" s="151" t="str">
        <f t="shared" si="61"/>
        <v>1989/01/02</v>
      </c>
      <c r="I809" s="149" t="s">
        <v>302</v>
      </c>
      <c r="J809" s="149" t="s">
        <v>3883</v>
      </c>
      <c r="K809" s="101" t="str">
        <f t="shared" si="62"/>
        <v>89</v>
      </c>
      <c r="L809" s="101" t="str">
        <f t="shared" si="63"/>
        <v>01</v>
      </c>
      <c r="M809" s="101" t="str">
        <f t="shared" si="64"/>
        <v>02</v>
      </c>
    </row>
    <row r="810" spans="1:13">
      <c r="A810" t="str">
        <f t="shared" si="60"/>
        <v>鳥取大学2809男</v>
      </c>
      <c r="B810" s="149" t="s">
        <v>2555</v>
      </c>
      <c r="C810" s="149">
        <v>2809</v>
      </c>
      <c r="D810" s="149" t="s">
        <v>2592</v>
      </c>
      <c r="E810" s="149" t="s">
        <v>2593</v>
      </c>
      <c r="F810" s="149" t="s">
        <v>293</v>
      </c>
      <c r="G810" s="149" t="s">
        <v>143</v>
      </c>
      <c r="H810" s="151" t="str">
        <f t="shared" si="61"/>
        <v>1990/06/30</v>
      </c>
      <c r="I810" s="149" t="s">
        <v>302</v>
      </c>
      <c r="J810" s="149" t="s">
        <v>3884</v>
      </c>
      <c r="K810" s="101" t="str">
        <f t="shared" si="62"/>
        <v>90</v>
      </c>
      <c r="L810" s="101" t="str">
        <f t="shared" si="63"/>
        <v>06</v>
      </c>
      <c r="M810" s="101" t="str">
        <f t="shared" si="64"/>
        <v>30</v>
      </c>
    </row>
    <row r="811" spans="1:13">
      <c r="A811" t="str">
        <f t="shared" si="60"/>
        <v>鳥取大学2810男</v>
      </c>
      <c r="B811" s="149" t="s">
        <v>2555</v>
      </c>
      <c r="C811" s="149">
        <v>2810</v>
      </c>
      <c r="D811" s="149" t="s">
        <v>2594</v>
      </c>
      <c r="E811" s="149" t="s">
        <v>2595</v>
      </c>
      <c r="F811" s="149" t="s">
        <v>260</v>
      </c>
      <c r="G811" s="149" t="s">
        <v>143</v>
      </c>
      <c r="H811" s="151" t="str">
        <f t="shared" si="61"/>
        <v>1993/04/24</v>
      </c>
      <c r="I811" s="149" t="s">
        <v>302</v>
      </c>
      <c r="J811" s="149" t="s">
        <v>369</v>
      </c>
      <c r="K811" s="101" t="str">
        <f t="shared" si="62"/>
        <v>93</v>
      </c>
      <c r="L811" s="101" t="str">
        <f t="shared" si="63"/>
        <v>04</v>
      </c>
      <c r="M811" s="101" t="str">
        <f t="shared" si="64"/>
        <v>24</v>
      </c>
    </row>
    <row r="812" spans="1:13">
      <c r="A812" t="str">
        <f t="shared" si="60"/>
        <v>鳥取大学2811男</v>
      </c>
      <c r="B812" s="149" t="s">
        <v>2555</v>
      </c>
      <c r="C812" s="149">
        <v>2811</v>
      </c>
      <c r="D812" s="149" t="s">
        <v>2596</v>
      </c>
      <c r="E812" s="149" t="s">
        <v>2597</v>
      </c>
      <c r="F812" s="149" t="s">
        <v>265</v>
      </c>
      <c r="G812" s="149" t="s">
        <v>143</v>
      </c>
      <c r="H812" s="151" t="str">
        <f t="shared" si="61"/>
        <v>1994/09/01</v>
      </c>
      <c r="I812" s="149" t="s">
        <v>302</v>
      </c>
      <c r="J812" s="149" t="s">
        <v>481</v>
      </c>
      <c r="K812" s="101" t="str">
        <f t="shared" si="62"/>
        <v>94</v>
      </c>
      <c r="L812" s="101" t="str">
        <f t="shared" si="63"/>
        <v>09</v>
      </c>
      <c r="M812" s="101" t="str">
        <f t="shared" si="64"/>
        <v>01</v>
      </c>
    </row>
    <row r="813" spans="1:13">
      <c r="A813" t="str">
        <f t="shared" si="60"/>
        <v>鳥取大学2812男</v>
      </c>
      <c r="B813" s="149" t="s">
        <v>2555</v>
      </c>
      <c r="C813" s="149">
        <v>2812</v>
      </c>
      <c r="D813" s="149" t="s">
        <v>2598</v>
      </c>
      <c r="E813" s="149" t="s">
        <v>2599</v>
      </c>
      <c r="F813" s="149" t="s">
        <v>265</v>
      </c>
      <c r="G813" s="149" t="s">
        <v>143</v>
      </c>
      <c r="H813" s="151" t="str">
        <f t="shared" si="61"/>
        <v>1990/07/09</v>
      </c>
      <c r="I813" s="149" t="s">
        <v>302</v>
      </c>
      <c r="J813" s="149" t="s">
        <v>3885</v>
      </c>
      <c r="K813" s="101" t="str">
        <f t="shared" si="62"/>
        <v>90</v>
      </c>
      <c r="L813" s="101" t="str">
        <f t="shared" si="63"/>
        <v>07</v>
      </c>
      <c r="M813" s="101" t="str">
        <f t="shared" si="64"/>
        <v>09</v>
      </c>
    </row>
    <row r="814" spans="1:13">
      <c r="A814" t="str">
        <f t="shared" si="60"/>
        <v>鳥取大学2813男</v>
      </c>
      <c r="B814" s="149" t="s">
        <v>2555</v>
      </c>
      <c r="C814" s="149">
        <v>2813</v>
      </c>
      <c r="D814" s="149" t="s">
        <v>2600</v>
      </c>
      <c r="E814" s="149" t="s">
        <v>2601</v>
      </c>
      <c r="F814" s="149" t="s">
        <v>265</v>
      </c>
      <c r="G814" s="149" t="s">
        <v>143</v>
      </c>
      <c r="H814" s="151" t="str">
        <f t="shared" si="61"/>
        <v>1993/10/21</v>
      </c>
      <c r="I814" s="149" t="s">
        <v>302</v>
      </c>
      <c r="J814" s="149" t="s">
        <v>531</v>
      </c>
      <c r="K814" s="101" t="str">
        <f t="shared" si="62"/>
        <v>93</v>
      </c>
      <c r="L814" s="101" t="str">
        <f t="shared" si="63"/>
        <v>10</v>
      </c>
      <c r="M814" s="101" t="str">
        <f t="shared" si="64"/>
        <v>21</v>
      </c>
    </row>
    <row r="815" spans="1:13">
      <c r="A815" t="str">
        <f t="shared" si="60"/>
        <v>鳥取大学2814男</v>
      </c>
      <c r="B815" s="149" t="s">
        <v>2555</v>
      </c>
      <c r="C815" s="149">
        <v>2814</v>
      </c>
      <c r="D815" s="149" t="s">
        <v>2602</v>
      </c>
      <c r="E815" s="149" t="s">
        <v>2603</v>
      </c>
      <c r="F815" s="149" t="s">
        <v>267</v>
      </c>
      <c r="G815" s="149" t="s">
        <v>143</v>
      </c>
      <c r="H815" s="151" t="str">
        <f t="shared" si="61"/>
        <v>1993/04/30</v>
      </c>
      <c r="I815" s="149" t="s">
        <v>302</v>
      </c>
      <c r="J815" s="149" t="s">
        <v>795</v>
      </c>
      <c r="K815" s="101" t="str">
        <f t="shared" si="62"/>
        <v>93</v>
      </c>
      <c r="L815" s="101" t="str">
        <f t="shared" si="63"/>
        <v>04</v>
      </c>
      <c r="M815" s="101" t="str">
        <f t="shared" si="64"/>
        <v>30</v>
      </c>
    </row>
    <row r="816" spans="1:13">
      <c r="A816" t="str">
        <f t="shared" si="60"/>
        <v>鳥取大学2815男</v>
      </c>
      <c r="B816" s="149" t="s">
        <v>2555</v>
      </c>
      <c r="C816" s="149">
        <v>2815</v>
      </c>
      <c r="D816" s="149" t="s">
        <v>2604</v>
      </c>
      <c r="E816" s="149" t="s">
        <v>2605</v>
      </c>
      <c r="F816" s="149" t="s">
        <v>267</v>
      </c>
      <c r="G816" s="149" t="s">
        <v>143</v>
      </c>
      <c r="H816" s="151" t="str">
        <f t="shared" si="61"/>
        <v>1995/04/21</v>
      </c>
      <c r="I816" s="149" t="s">
        <v>302</v>
      </c>
      <c r="J816" s="149" t="s">
        <v>425</v>
      </c>
      <c r="K816" s="101" t="str">
        <f t="shared" si="62"/>
        <v>95</v>
      </c>
      <c r="L816" s="101" t="str">
        <f t="shared" si="63"/>
        <v>04</v>
      </c>
      <c r="M816" s="101" t="str">
        <f t="shared" si="64"/>
        <v>21</v>
      </c>
    </row>
    <row r="817" spans="1:13">
      <c r="A817" t="str">
        <f t="shared" si="60"/>
        <v>鳥取大学2816男</v>
      </c>
      <c r="B817" s="149" t="s">
        <v>2555</v>
      </c>
      <c r="C817" s="149">
        <v>2816</v>
      </c>
      <c r="D817" s="149" t="s">
        <v>2606</v>
      </c>
      <c r="E817" s="149" t="s">
        <v>2607</v>
      </c>
      <c r="F817" s="149" t="s">
        <v>267</v>
      </c>
      <c r="G817" s="149" t="s">
        <v>143</v>
      </c>
      <c r="H817" s="151" t="str">
        <f t="shared" si="61"/>
        <v>1994/09/22</v>
      </c>
      <c r="I817" s="149" t="s">
        <v>302</v>
      </c>
      <c r="J817" s="149" t="s">
        <v>404</v>
      </c>
      <c r="K817" s="101" t="str">
        <f t="shared" si="62"/>
        <v>94</v>
      </c>
      <c r="L817" s="101" t="str">
        <f t="shared" si="63"/>
        <v>09</v>
      </c>
      <c r="M817" s="101" t="str">
        <f t="shared" si="64"/>
        <v>22</v>
      </c>
    </row>
    <row r="818" spans="1:13">
      <c r="A818" t="str">
        <f t="shared" si="60"/>
        <v>鳥取大学2817男</v>
      </c>
      <c r="B818" s="149" t="s">
        <v>2555</v>
      </c>
      <c r="C818" s="149">
        <v>2817</v>
      </c>
      <c r="D818" s="149" t="s">
        <v>2608</v>
      </c>
      <c r="E818" s="149" t="s">
        <v>2609</v>
      </c>
      <c r="F818" s="149" t="s">
        <v>267</v>
      </c>
      <c r="G818" s="149" t="s">
        <v>143</v>
      </c>
      <c r="H818" s="151" t="str">
        <f t="shared" si="61"/>
        <v>1995/09/29</v>
      </c>
      <c r="I818" s="149" t="s">
        <v>302</v>
      </c>
      <c r="J818" s="149" t="s">
        <v>661</v>
      </c>
      <c r="K818" s="101" t="str">
        <f t="shared" si="62"/>
        <v>95</v>
      </c>
      <c r="L818" s="101" t="str">
        <f t="shared" si="63"/>
        <v>09</v>
      </c>
      <c r="M818" s="101" t="str">
        <f t="shared" si="64"/>
        <v>29</v>
      </c>
    </row>
    <row r="819" spans="1:13">
      <c r="A819" t="str">
        <f t="shared" si="60"/>
        <v>鳥取大学2818男</v>
      </c>
      <c r="B819" s="149" t="s">
        <v>2555</v>
      </c>
      <c r="C819" s="149">
        <v>2818</v>
      </c>
      <c r="D819" s="149" t="s">
        <v>2610</v>
      </c>
      <c r="E819" s="149" t="s">
        <v>2611</v>
      </c>
      <c r="F819" s="149" t="s">
        <v>279</v>
      </c>
      <c r="G819" s="149" t="s">
        <v>143</v>
      </c>
      <c r="H819" s="151" t="str">
        <f t="shared" si="61"/>
        <v>1987/10/05</v>
      </c>
      <c r="I819" s="149" t="s">
        <v>302</v>
      </c>
      <c r="J819" s="149" t="s">
        <v>3886</v>
      </c>
      <c r="K819" s="101" t="str">
        <f t="shared" si="62"/>
        <v>87</v>
      </c>
      <c r="L819" s="101" t="str">
        <f t="shared" si="63"/>
        <v>10</v>
      </c>
      <c r="M819" s="101" t="str">
        <f t="shared" si="64"/>
        <v>05</v>
      </c>
    </row>
    <row r="820" spans="1:13">
      <c r="A820" t="str">
        <f t="shared" si="60"/>
        <v>鳥取大学2819男</v>
      </c>
      <c r="B820" s="149" t="s">
        <v>2555</v>
      </c>
      <c r="C820" s="149">
        <v>2819</v>
      </c>
      <c r="D820" s="149" t="s">
        <v>2612</v>
      </c>
      <c r="E820" s="149" t="s">
        <v>2613</v>
      </c>
      <c r="F820" s="149" t="s">
        <v>260</v>
      </c>
      <c r="G820" s="149" t="s">
        <v>143</v>
      </c>
      <c r="H820" s="151" t="str">
        <f t="shared" si="61"/>
        <v>1993/08/20</v>
      </c>
      <c r="I820" s="149" t="s">
        <v>302</v>
      </c>
      <c r="J820" s="149" t="s">
        <v>3887</v>
      </c>
      <c r="K820" s="101" t="str">
        <f t="shared" si="62"/>
        <v>93</v>
      </c>
      <c r="L820" s="101" t="str">
        <f t="shared" si="63"/>
        <v>08</v>
      </c>
      <c r="M820" s="101" t="str">
        <f t="shared" si="64"/>
        <v>20</v>
      </c>
    </row>
    <row r="821" spans="1:13">
      <c r="A821" t="str">
        <f t="shared" si="60"/>
        <v>鳥取大学2820男</v>
      </c>
      <c r="B821" s="149" t="s">
        <v>2555</v>
      </c>
      <c r="C821" s="149">
        <v>2820</v>
      </c>
      <c r="D821" s="149" t="s">
        <v>2614</v>
      </c>
      <c r="E821" s="149" t="s">
        <v>2615</v>
      </c>
      <c r="F821" s="149" t="s">
        <v>265</v>
      </c>
      <c r="G821" s="149" t="s">
        <v>143</v>
      </c>
      <c r="H821" s="151" t="str">
        <f t="shared" si="61"/>
        <v>1994/04/19</v>
      </c>
      <c r="I821" s="149" t="s">
        <v>302</v>
      </c>
      <c r="J821" s="149" t="s">
        <v>3888</v>
      </c>
      <c r="K821" s="101" t="str">
        <f t="shared" si="62"/>
        <v>94</v>
      </c>
      <c r="L821" s="101" t="str">
        <f t="shared" si="63"/>
        <v>04</v>
      </c>
      <c r="M821" s="101" t="str">
        <f t="shared" si="64"/>
        <v>19</v>
      </c>
    </row>
    <row r="822" spans="1:13">
      <c r="A822" t="str">
        <f t="shared" si="60"/>
        <v>鳥取大学2821男</v>
      </c>
      <c r="B822" s="149" t="s">
        <v>2555</v>
      </c>
      <c r="C822" s="149">
        <v>2821</v>
      </c>
      <c r="D822" s="149" t="s">
        <v>2616</v>
      </c>
      <c r="E822" s="149" t="s">
        <v>2617</v>
      </c>
      <c r="F822" s="149" t="s">
        <v>260</v>
      </c>
      <c r="G822" s="149" t="s">
        <v>143</v>
      </c>
      <c r="H822" s="151" t="str">
        <f t="shared" si="61"/>
        <v>1993/09/12</v>
      </c>
      <c r="I822" s="149" t="s">
        <v>302</v>
      </c>
      <c r="J822" s="149" t="s">
        <v>3889</v>
      </c>
      <c r="K822" s="101" t="str">
        <f t="shared" si="62"/>
        <v>93</v>
      </c>
      <c r="L822" s="101" t="str">
        <f t="shared" si="63"/>
        <v>09</v>
      </c>
      <c r="M822" s="101" t="str">
        <f t="shared" si="64"/>
        <v>12</v>
      </c>
    </row>
    <row r="823" spans="1:13">
      <c r="A823" t="str">
        <f t="shared" si="60"/>
        <v>環太平洋大学2822男</v>
      </c>
      <c r="B823" s="149" t="s">
        <v>2618</v>
      </c>
      <c r="C823" s="149">
        <v>2822</v>
      </c>
      <c r="D823" s="149" t="s">
        <v>2619</v>
      </c>
      <c r="E823" s="149" t="s">
        <v>2620</v>
      </c>
      <c r="F823" s="149" t="s">
        <v>260</v>
      </c>
      <c r="G823" s="149" t="s">
        <v>143</v>
      </c>
      <c r="H823" s="151" t="str">
        <f t="shared" si="61"/>
        <v>1992/12/03</v>
      </c>
      <c r="I823" s="149" t="s">
        <v>304</v>
      </c>
      <c r="J823" s="149" t="s">
        <v>3890</v>
      </c>
      <c r="K823" s="101" t="str">
        <f t="shared" si="62"/>
        <v>92</v>
      </c>
      <c r="L823" s="101" t="str">
        <f t="shared" si="63"/>
        <v>12</v>
      </c>
      <c r="M823" s="101" t="str">
        <f t="shared" si="64"/>
        <v>03</v>
      </c>
    </row>
    <row r="824" spans="1:13">
      <c r="A824" t="str">
        <f t="shared" si="60"/>
        <v>環太平洋大学2823男</v>
      </c>
      <c r="B824" s="149" t="s">
        <v>2618</v>
      </c>
      <c r="C824" s="149">
        <v>2823</v>
      </c>
      <c r="D824" s="149" t="s">
        <v>2621</v>
      </c>
      <c r="E824" s="149" t="s">
        <v>2622</v>
      </c>
      <c r="F824" s="149" t="s">
        <v>260</v>
      </c>
      <c r="G824" s="149" t="s">
        <v>143</v>
      </c>
      <c r="H824" s="151" t="str">
        <f t="shared" si="61"/>
        <v>1993/04/01</v>
      </c>
      <c r="I824" s="149" t="s">
        <v>295</v>
      </c>
      <c r="J824" s="149" t="s">
        <v>3891</v>
      </c>
      <c r="K824" s="101" t="str">
        <f t="shared" si="62"/>
        <v>93</v>
      </c>
      <c r="L824" s="101" t="str">
        <f t="shared" si="63"/>
        <v>04</v>
      </c>
      <c r="M824" s="101" t="str">
        <f t="shared" si="64"/>
        <v>01</v>
      </c>
    </row>
    <row r="825" spans="1:13">
      <c r="A825" t="str">
        <f t="shared" si="60"/>
        <v>環太平洋大学2824男</v>
      </c>
      <c r="B825" s="149" t="s">
        <v>2618</v>
      </c>
      <c r="C825" s="149">
        <v>2824</v>
      </c>
      <c r="D825" s="149" t="s">
        <v>2623</v>
      </c>
      <c r="E825" s="149" t="s">
        <v>2624</v>
      </c>
      <c r="F825" s="149" t="s">
        <v>260</v>
      </c>
      <c r="G825" s="149" t="s">
        <v>143</v>
      </c>
      <c r="H825" s="151" t="str">
        <f t="shared" si="61"/>
        <v>1993/06/26</v>
      </c>
      <c r="I825" s="149" t="s">
        <v>277</v>
      </c>
      <c r="J825" s="149" t="s">
        <v>3709</v>
      </c>
      <c r="K825" s="101" t="str">
        <f t="shared" si="62"/>
        <v>93</v>
      </c>
      <c r="L825" s="101" t="str">
        <f t="shared" si="63"/>
        <v>06</v>
      </c>
      <c r="M825" s="101" t="str">
        <f t="shared" si="64"/>
        <v>26</v>
      </c>
    </row>
    <row r="826" spans="1:13">
      <c r="A826" t="str">
        <f t="shared" si="60"/>
        <v>環太平洋大学2825男</v>
      </c>
      <c r="B826" s="149" t="s">
        <v>2618</v>
      </c>
      <c r="C826" s="149">
        <v>2825</v>
      </c>
      <c r="D826" s="149" t="s">
        <v>2625</v>
      </c>
      <c r="E826" s="149" t="s">
        <v>2626</v>
      </c>
      <c r="F826" s="149" t="s">
        <v>260</v>
      </c>
      <c r="G826" s="149" t="s">
        <v>143</v>
      </c>
      <c r="H826" s="151" t="str">
        <f t="shared" si="61"/>
        <v>1994/01/11</v>
      </c>
      <c r="I826" s="149" t="s">
        <v>304</v>
      </c>
      <c r="J826" s="149" t="s">
        <v>785</v>
      </c>
      <c r="K826" s="101" t="str">
        <f t="shared" si="62"/>
        <v>94</v>
      </c>
      <c r="L826" s="101" t="str">
        <f t="shared" si="63"/>
        <v>01</v>
      </c>
      <c r="M826" s="101" t="str">
        <f t="shared" si="64"/>
        <v>11</v>
      </c>
    </row>
    <row r="827" spans="1:13">
      <c r="A827" t="str">
        <f t="shared" si="60"/>
        <v>環太平洋大学2826男</v>
      </c>
      <c r="B827" s="149" t="s">
        <v>2618</v>
      </c>
      <c r="C827" s="149">
        <v>2826</v>
      </c>
      <c r="D827" s="149" t="s">
        <v>2627</v>
      </c>
      <c r="E827" s="149" t="s">
        <v>2628</v>
      </c>
      <c r="F827" s="149" t="s">
        <v>260</v>
      </c>
      <c r="G827" s="149" t="s">
        <v>143</v>
      </c>
      <c r="H827" s="151" t="str">
        <f t="shared" si="61"/>
        <v>1993/04/24</v>
      </c>
      <c r="I827" s="149" t="s">
        <v>301</v>
      </c>
      <c r="J827" s="149" t="s">
        <v>369</v>
      </c>
      <c r="K827" s="101" t="str">
        <f t="shared" si="62"/>
        <v>93</v>
      </c>
      <c r="L827" s="101" t="str">
        <f t="shared" si="63"/>
        <v>04</v>
      </c>
      <c r="M827" s="101" t="str">
        <f t="shared" si="64"/>
        <v>24</v>
      </c>
    </row>
    <row r="828" spans="1:13">
      <c r="A828" t="str">
        <f t="shared" si="60"/>
        <v>環太平洋大学2827男</v>
      </c>
      <c r="B828" s="149" t="s">
        <v>2618</v>
      </c>
      <c r="C828" s="149">
        <v>2827</v>
      </c>
      <c r="D828" s="149" t="s">
        <v>2629</v>
      </c>
      <c r="E828" s="149" t="s">
        <v>2630</v>
      </c>
      <c r="F828" s="149" t="s">
        <v>260</v>
      </c>
      <c r="G828" s="149" t="s">
        <v>143</v>
      </c>
      <c r="H828" s="151" t="str">
        <f t="shared" si="61"/>
        <v>1993/06/25</v>
      </c>
      <c r="I828" s="149" t="s">
        <v>289</v>
      </c>
      <c r="J828" s="149" t="s">
        <v>670</v>
      </c>
      <c r="K828" s="101" t="str">
        <f t="shared" si="62"/>
        <v>93</v>
      </c>
      <c r="L828" s="101" t="str">
        <f t="shared" si="63"/>
        <v>06</v>
      </c>
      <c r="M828" s="101" t="str">
        <f t="shared" si="64"/>
        <v>25</v>
      </c>
    </row>
    <row r="829" spans="1:13">
      <c r="A829" t="str">
        <f t="shared" si="60"/>
        <v>環太平洋大学2828男</v>
      </c>
      <c r="B829" s="149" t="s">
        <v>2618</v>
      </c>
      <c r="C829" s="149">
        <v>2828</v>
      </c>
      <c r="D829" s="149" t="s">
        <v>2631</v>
      </c>
      <c r="E829" s="149" t="s">
        <v>2632</v>
      </c>
      <c r="F829" s="149" t="s">
        <v>260</v>
      </c>
      <c r="G829" s="149" t="s">
        <v>143</v>
      </c>
      <c r="H829" s="151" t="str">
        <f t="shared" si="61"/>
        <v>1993/06/02</v>
      </c>
      <c r="I829" s="149" t="s">
        <v>276</v>
      </c>
      <c r="J829" s="149" t="s">
        <v>568</v>
      </c>
      <c r="K829" s="101" t="str">
        <f t="shared" si="62"/>
        <v>93</v>
      </c>
      <c r="L829" s="101" t="str">
        <f t="shared" si="63"/>
        <v>06</v>
      </c>
      <c r="M829" s="101" t="str">
        <f t="shared" si="64"/>
        <v>02</v>
      </c>
    </row>
    <row r="830" spans="1:13">
      <c r="A830" t="str">
        <f t="shared" si="60"/>
        <v>環太平洋大学2829男</v>
      </c>
      <c r="B830" s="149" t="s">
        <v>2618</v>
      </c>
      <c r="C830" s="149">
        <v>2829</v>
      </c>
      <c r="D830" s="149" t="s">
        <v>2633</v>
      </c>
      <c r="E830" s="149" t="s">
        <v>2634</v>
      </c>
      <c r="F830" s="149" t="s">
        <v>260</v>
      </c>
      <c r="G830" s="149" t="s">
        <v>143</v>
      </c>
      <c r="H830" s="151" t="str">
        <f t="shared" si="61"/>
        <v>1993/05/31</v>
      </c>
      <c r="I830" s="149" t="s">
        <v>277</v>
      </c>
      <c r="J830" s="149" t="s">
        <v>459</v>
      </c>
      <c r="K830" s="101" t="str">
        <f t="shared" si="62"/>
        <v>93</v>
      </c>
      <c r="L830" s="101" t="str">
        <f t="shared" si="63"/>
        <v>05</v>
      </c>
      <c r="M830" s="101" t="str">
        <f t="shared" si="64"/>
        <v>31</v>
      </c>
    </row>
    <row r="831" spans="1:13">
      <c r="A831" t="str">
        <f t="shared" si="60"/>
        <v>環太平洋大学2830男</v>
      </c>
      <c r="B831" s="149" t="s">
        <v>2618</v>
      </c>
      <c r="C831" s="149">
        <v>2830</v>
      </c>
      <c r="D831" s="149" t="s">
        <v>2635</v>
      </c>
      <c r="E831" s="149" t="s">
        <v>2636</v>
      </c>
      <c r="F831" s="149" t="s">
        <v>260</v>
      </c>
      <c r="G831" s="149" t="s">
        <v>143</v>
      </c>
      <c r="H831" s="151" t="str">
        <f t="shared" si="61"/>
        <v>1993/05/26</v>
      </c>
      <c r="I831" s="149" t="s">
        <v>281</v>
      </c>
      <c r="J831" s="149" t="s">
        <v>551</v>
      </c>
      <c r="K831" s="101" t="str">
        <f t="shared" si="62"/>
        <v>93</v>
      </c>
      <c r="L831" s="101" t="str">
        <f t="shared" si="63"/>
        <v>05</v>
      </c>
      <c r="M831" s="101" t="str">
        <f t="shared" si="64"/>
        <v>26</v>
      </c>
    </row>
    <row r="832" spans="1:13">
      <c r="A832" t="str">
        <f t="shared" si="60"/>
        <v>環太平洋大学2831男</v>
      </c>
      <c r="B832" s="149" t="s">
        <v>2618</v>
      </c>
      <c r="C832" s="149">
        <v>2831</v>
      </c>
      <c r="D832" s="149" t="s">
        <v>2637</v>
      </c>
      <c r="E832" s="149" t="s">
        <v>2638</v>
      </c>
      <c r="F832" s="149" t="s">
        <v>260</v>
      </c>
      <c r="G832" s="149" t="s">
        <v>143</v>
      </c>
      <c r="H832" s="151" t="str">
        <f t="shared" si="61"/>
        <v>1993/10/06</v>
      </c>
      <c r="I832" s="149" t="s">
        <v>3630</v>
      </c>
      <c r="J832" s="149" t="s">
        <v>3726</v>
      </c>
      <c r="K832" s="101" t="str">
        <f t="shared" si="62"/>
        <v>93</v>
      </c>
      <c r="L832" s="101" t="str">
        <f t="shared" si="63"/>
        <v>10</v>
      </c>
      <c r="M832" s="101" t="str">
        <f t="shared" si="64"/>
        <v>06</v>
      </c>
    </row>
    <row r="833" spans="1:13">
      <c r="A833" t="str">
        <f t="shared" si="60"/>
        <v>環太平洋大学2832男</v>
      </c>
      <c r="B833" s="149" t="s">
        <v>2618</v>
      </c>
      <c r="C833" s="149">
        <v>2832</v>
      </c>
      <c r="D833" s="149" t="s">
        <v>2639</v>
      </c>
      <c r="E833" s="149" t="s">
        <v>2640</v>
      </c>
      <c r="F833" s="149" t="s">
        <v>260</v>
      </c>
      <c r="G833" s="149" t="s">
        <v>143</v>
      </c>
      <c r="H833" s="151" t="str">
        <f t="shared" si="61"/>
        <v>1994/03/14</v>
      </c>
      <c r="I833" s="149" t="s">
        <v>276</v>
      </c>
      <c r="J833" s="149" t="s">
        <v>909</v>
      </c>
      <c r="K833" s="101" t="str">
        <f t="shared" si="62"/>
        <v>94</v>
      </c>
      <c r="L833" s="101" t="str">
        <f t="shared" si="63"/>
        <v>03</v>
      </c>
      <c r="M833" s="101" t="str">
        <f t="shared" si="64"/>
        <v>14</v>
      </c>
    </row>
    <row r="834" spans="1:13">
      <c r="A834" t="str">
        <f t="shared" ref="A834:A897" si="65">B834&amp;C834&amp;G834</f>
        <v>環太平洋大学2833男</v>
      </c>
      <c r="B834" s="149" t="s">
        <v>2618</v>
      </c>
      <c r="C834" s="149">
        <v>2833</v>
      </c>
      <c r="D834" s="149" t="s">
        <v>2641</v>
      </c>
      <c r="E834" s="149" t="s">
        <v>2642</v>
      </c>
      <c r="F834" s="149" t="s">
        <v>260</v>
      </c>
      <c r="G834" s="149" t="s">
        <v>143</v>
      </c>
      <c r="H834" s="151" t="str">
        <f t="shared" si="61"/>
        <v>1994/01/15</v>
      </c>
      <c r="I834" s="149" t="s">
        <v>299</v>
      </c>
      <c r="J834" s="149" t="s">
        <v>3725</v>
      </c>
      <c r="K834" s="101" t="str">
        <f t="shared" si="62"/>
        <v>94</v>
      </c>
      <c r="L834" s="101" t="str">
        <f t="shared" si="63"/>
        <v>01</v>
      </c>
      <c r="M834" s="101" t="str">
        <f t="shared" si="64"/>
        <v>15</v>
      </c>
    </row>
    <row r="835" spans="1:13">
      <c r="A835" t="str">
        <f t="shared" si="65"/>
        <v>環太平洋大学2834男</v>
      </c>
      <c r="B835" s="149" t="s">
        <v>2618</v>
      </c>
      <c r="C835" s="149">
        <v>2834</v>
      </c>
      <c r="D835" s="149" t="s">
        <v>2643</v>
      </c>
      <c r="E835" s="149" t="s">
        <v>2644</v>
      </c>
      <c r="F835" s="149" t="s">
        <v>260</v>
      </c>
      <c r="G835" s="149" t="s">
        <v>143</v>
      </c>
      <c r="H835" s="151" t="str">
        <f t="shared" ref="H835:H898" si="66">"19"&amp;K835&amp;"/"&amp;L835&amp;"/"&amp;M835</f>
        <v>1993/11/05</v>
      </c>
      <c r="I835" s="149" t="s">
        <v>301</v>
      </c>
      <c r="J835" s="149" t="s">
        <v>3892</v>
      </c>
      <c r="K835" s="101" t="str">
        <f t="shared" ref="K835:K898" si="67">MID(J835,1,2)</f>
        <v>93</v>
      </c>
      <c r="L835" s="101" t="str">
        <f t="shared" ref="L835:L898" si="68">MID(J835,3,2)</f>
        <v>11</v>
      </c>
      <c r="M835" s="101" t="str">
        <f t="shared" ref="M835:M898" si="69">MID(J835,5,2)</f>
        <v>05</v>
      </c>
    </row>
    <row r="836" spans="1:13">
      <c r="A836" t="str">
        <f t="shared" si="65"/>
        <v>環太平洋大学2835男</v>
      </c>
      <c r="B836" s="149" t="s">
        <v>2618</v>
      </c>
      <c r="C836" s="149">
        <v>2835</v>
      </c>
      <c r="D836" s="149" t="s">
        <v>2645</v>
      </c>
      <c r="E836" s="149" t="s">
        <v>2646</v>
      </c>
      <c r="F836" s="149" t="s">
        <v>260</v>
      </c>
      <c r="G836" s="149" t="s">
        <v>143</v>
      </c>
      <c r="H836" s="151" t="str">
        <f t="shared" si="66"/>
        <v>1993/04/14</v>
      </c>
      <c r="I836" s="149" t="s">
        <v>304</v>
      </c>
      <c r="J836" s="149" t="s">
        <v>576</v>
      </c>
      <c r="K836" s="101" t="str">
        <f t="shared" si="67"/>
        <v>93</v>
      </c>
      <c r="L836" s="101" t="str">
        <f t="shared" si="68"/>
        <v>04</v>
      </c>
      <c r="M836" s="101" t="str">
        <f t="shared" si="69"/>
        <v>14</v>
      </c>
    </row>
    <row r="837" spans="1:13">
      <c r="A837" t="str">
        <f t="shared" si="65"/>
        <v>環太平洋大学2836男</v>
      </c>
      <c r="B837" s="149" t="s">
        <v>2618</v>
      </c>
      <c r="C837" s="149">
        <v>2836</v>
      </c>
      <c r="D837" s="149" t="s">
        <v>2647</v>
      </c>
      <c r="E837" s="149" t="s">
        <v>2648</v>
      </c>
      <c r="F837" s="149" t="s">
        <v>260</v>
      </c>
      <c r="G837" s="149" t="s">
        <v>143</v>
      </c>
      <c r="H837" s="151" t="str">
        <f t="shared" si="66"/>
        <v>1993/05/24</v>
      </c>
      <c r="I837" s="149" t="s">
        <v>304</v>
      </c>
      <c r="J837" s="149" t="s">
        <v>3819</v>
      </c>
      <c r="K837" s="101" t="str">
        <f t="shared" si="67"/>
        <v>93</v>
      </c>
      <c r="L837" s="101" t="str">
        <f t="shared" si="68"/>
        <v>05</v>
      </c>
      <c r="M837" s="101" t="str">
        <f t="shared" si="69"/>
        <v>24</v>
      </c>
    </row>
    <row r="838" spans="1:13">
      <c r="A838" t="str">
        <f t="shared" si="65"/>
        <v>環太平洋大学2837男</v>
      </c>
      <c r="B838" s="149" t="s">
        <v>2618</v>
      </c>
      <c r="C838" s="149">
        <v>2837</v>
      </c>
      <c r="D838" s="149" t="s">
        <v>2649</v>
      </c>
      <c r="E838" s="149" t="s">
        <v>2650</v>
      </c>
      <c r="F838" s="149" t="s">
        <v>260</v>
      </c>
      <c r="G838" s="149" t="s">
        <v>143</v>
      </c>
      <c r="H838" s="151" t="str">
        <f t="shared" si="66"/>
        <v>1993/04/19</v>
      </c>
      <c r="I838" s="149" t="s">
        <v>304</v>
      </c>
      <c r="J838" s="149" t="s">
        <v>860</v>
      </c>
      <c r="K838" s="101" t="str">
        <f t="shared" si="67"/>
        <v>93</v>
      </c>
      <c r="L838" s="101" t="str">
        <f t="shared" si="68"/>
        <v>04</v>
      </c>
      <c r="M838" s="101" t="str">
        <f t="shared" si="69"/>
        <v>19</v>
      </c>
    </row>
    <row r="839" spans="1:13">
      <c r="A839" t="str">
        <f t="shared" si="65"/>
        <v>環太平洋大学2838男</v>
      </c>
      <c r="B839" s="149" t="s">
        <v>2618</v>
      </c>
      <c r="C839" s="149">
        <v>2838</v>
      </c>
      <c r="D839" s="149" t="s">
        <v>2651</v>
      </c>
      <c r="E839" s="149" t="s">
        <v>319</v>
      </c>
      <c r="F839" s="149" t="s">
        <v>260</v>
      </c>
      <c r="G839" s="149" t="s">
        <v>143</v>
      </c>
      <c r="H839" s="151" t="str">
        <f t="shared" si="66"/>
        <v>1993/05/13</v>
      </c>
      <c r="I839" s="149" t="s">
        <v>299</v>
      </c>
      <c r="J839" s="149" t="s">
        <v>3893</v>
      </c>
      <c r="K839" s="101" t="str">
        <f t="shared" si="67"/>
        <v>93</v>
      </c>
      <c r="L839" s="101" t="str">
        <f t="shared" si="68"/>
        <v>05</v>
      </c>
      <c r="M839" s="101" t="str">
        <f t="shared" si="69"/>
        <v>13</v>
      </c>
    </row>
    <row r="840" spans="1:13">
      <c r="A840" t="str">
        <f t="shared" si="65"/>
        <v>環太平洋大学2839男</v>
      </c>
      <c r="B840" s="149" t="s">
        <v>2618</v>
      </c>
      <c r="C840" s="149">
        <v>2839</v>
      </c>
      <c r="D840" s="149" t="s">
        <v>2652</v>
      </c>
      <c r="E840" s="149" t="s">
        <v>2653</v>
      </c>
      <c r="F840" s="149" t="s">
        <v>260</v>
      </c>
      <c r="G840" s="149" t="s">
        <v>143</v>
      </c>
      <c r="H840" s="151" t="str">
        <f t="shared" si="66"/>
        <v>1993/06/10</v>
      </c>
      <c r="I840" s="149" t="s">
        <v>302</v>
      </c>
      <c r="J840" s="149" t="s">
        <v>848</v>
      </c>
      <c r="K840" s="101" t="str">
        <f t="shared" si="67"/>
        <v>93</v>
      </c>
      <c r="L840" s="101" t="str">
        <f t="shared" si="68"/>
        <v>06</v>
      </c>
      <c r="M840" s="101" t="str">
        <f t="shared" si="69"/>
        <v>10</v>
      </c>
    </row>
    <row r="841" spans="1:13">
      <c r="A841" t="str">
        <f t="shared" si="65"/>
        <v>環太平洋大学2840男</v>
      </c>
      <c r="B841" s="149" t="s">
        <v>2618</v>
      </c>
      <c r="C841" s="149">
        <v>2840</v>
      </c>
      <c r="D841" s="149" t="s">
        <v>2654</v>
      </c>
      <c r="E841" s="149" t="s">
        <v>2655</v>
      </c>
      <c r="F841" s="149" t="s">
        <v>260</v>
      </c>
      <c r="G841" s="149" t="s">
        <v>143</v>
      </c>
      <c r="H841" s="151" t="str">
        <f t="shared" si="66"/>
        <v>1993/12/18</v>
      </c>
      <c r="I841" s="149" t="s">
        <v>302</v>
      </c>
      <c r="J841" s="149" t="s">
        <v>3659</v>
      </c>
      <c r="K841" s="101" t="str">
        <f t="shared" si="67"/>
        <v>93</v>
      </c>
      <c r="L841" s="101" t="str">
        <f t="shared" si="68"/>
        <v>12</v>
      </c>
      <c r="M841" s="101" t="str">
        <f t="shared" si="69"/>
        <v>18</v>
      </c>
    </row>
    <row r="842" spans="1:13">
      <c r="A842" t="str">
        <f t="shared" si="65"/>
        <v>環太平洋大学2841男</v>
      </c>
      <c r="B842" s="149" t="s">
        <v>2618</v>
      </c>
      <c r="C842" s="149">
        <v>2841</v>
      </c>
      <c r="D842" s="149" t="s">
        <v>2656</v>
      </c>
      <c r="E842" s="149" t="s">
        <v>2657</v>
      </c>
      <c r="F842" s="149" t="s">
        <v>260</v>
      </c>
      <c r="G842" s="149" t="s">
        <v>143</v>
      </c>
      <c r="H842" s="151" t="str">
        <f t="shared" si="66"/>
        <v>1993/05/26</v>
      </c>
      <c r="I842" s="149" t="s">
        <v>304</v>
      </c>
      <c r="J842" s="149" t="s">
        <v>551</v>
      </c>
      <c r="K842" s="101" t="str">
        <f t="shared" si="67"/>
        <v>93</v>
      </c>
      <c r="L842" s="101" t="str">
        <f t="shared" si="68"/>
        <v>05</v>
      </c>
      <c r="M842" s="101" t="str">
        <f t="shared" si="69"/>
        <v>26</v>
      </c>
    </row>
    <row r="843" spans="1:13">
      <c r="A843" t="str">
        <f t="shared" si="65"/>
        <v>環太平洋大学2842男</v>
      </c>
      <c r="B843" s="149" t="s">
        <v>2618</v>
      </c>
      <c r="C843" s="149">
        <v>2842</v>
      </c>
      <c r="D843" s="149" t="s">
        <v>2658</v>
      </c>
      <c r="E843" s="149" t="s">
        <v>2659</v>
      </c>
      <c r="F843" s="149" t="s">
        <v>260</v>
      </c>
      <c r="G843" s="149" t="s">
        <v>143</v>
      </c>
      <c r="H843" s="151" t="str">
        <f t="shared" si="66"/>
        <v>1993/11/22</v>
      </c>
      <c r="I843" s="149" t="s">
        <v>277</v>
      </c>
      <c r="J843" s="149" t="s">
        <v>3869</v>
      </c>
      <c r="K843" s="101" t="str">
        <f t="shared" si="67"/>
        <v>93</v>
      </c>
      <c r="L843" s="101" t="str">
        <f t="shared" si="68"/>
        <v>11</v>
      </c>
      <c r="M843" s="101" t="str">
        <f t="shared" si="69"/>
        <v>22</v>
      </c>
    </row>
    <row r="844" spans="1:13">
      <c r="A844" t="str">
        <f t="shared" si="65"/>
        <v>環太平洋大学2843男</v>
      </c>
      <c r="B844" s="149" t="s">
        <v>2618</v>
      </c>
      <c r="C844" s="149">
        <v>2843</v>
      </c>
      <c r="D844" s="149" t="s">
        <v>2660</v>
      </c>
      <c r="E844" s="149" t="s">
        <v>2661</v>
      </c>
      <c r="F844" s="149" t="s">
        <v>260</v>
      </c>
      <c r="G844" s="149" t="s">
        <v>143</v>
      </c>
      <c r="H844" s="151" t="str">
        <f t="shared" si="66"/>
        <v>1993/05/27</v>
      </c>
      <c r="I844" s="149" t="s">
        <v>299</v>
      </c>
      <c r="J844" s="149" t="s">
        <v>3894</v>
      </c>
      <c r="K844" s="101" t="str">
        <f t="shared" si="67"/>
        <v>93</v>
      </c>
      <c r="L844" s="101" t="str">
        <f t="shared" si="68"/>
        <v>05</v>
      </c>
      <c r="M844" s="101" t="str">
        <f t="shared" si="69"/>
        <v>27</v>
      </c>
    </row>
    <row r="845" spans="1:13">
      <c r="A845" t="str">
        <f t="shared" si="65"/>
        <v>環太平洋大学2844男</v>
      </c>
      <c r="B845" s="149" t="s">
        <v>2618</v>
      </c>
      <c r="C845" s="149">
        <v>2844</v>
      </c>
      <c r="D845" s="149" t="s">
        <v>2662</v>
      </c>
      <c r="E845" s="149" t="s">
        <v>2663</v>
      </c>
      <c r="F845" s="149" t="s">
        <v>260</v>
      </c>
      <c r="G845" s="149" t="s">
        <v>143</v>
      </c>
      <c r="H845" s="151" t="str">
        <f t="shared" si="66"/>
        <v>1994/02/16</v>
      </c>
      <c r="I845" s="149" t="s">
        <v>277</v>
      </c>
      <c r="J845" s="149" t="s">
        <v>655</v>
      </c>
      <c r="K845" s="101" t="str">
        <f t="shared" si="67"/>
        <v>94</v>
      </c>
      <c r="L845" s="101" t="str">
        <f t="shared" si="68"/>
        <v>02</v>
      </c>
      <c r="M845" s="101" t="str">
        <f t="shared" si="69"/>
        <v>16</v>
      </c>
    </row>
    <row r="846" spans="1:13">
      <c r="A846" t="str">
        <f t="shared" si="65"/>
        <v>環太平洋大学2845男</v>
      </c>
      <c r="B846" s="149" t="s">
        <v>2618</v>
      </c>
      <c r="C846" s="149">
        <v>2845</v>
      </c>
      <c r="D846" s="149" t="s">
        <v>2664</v>
      </c>
      <c r="E846" s="149" t="s">
        <v>2665</v>
      </c>
      <c r="F846" s="149" t="s">
        <v>260</v>
      </c>
      <c r="G846" s="149" t="s">
        <v>143</v>
      </c>
      <c r="H846" s="151" t="str">
        <f t="shared" si="66"/>
        <v>1993/07/02</v>
      </c>
      <c r="I846" s="149" t="s">
        <v>5</v>
      </c>
      <c r="J846" s="149" t="s">
        <v>3766</v>
      </c>
      <c r="K846" s="101" t="str">
        <f t="shared" si="67"/>
        <v>93</v>
      </c>
      <c r="L846" s="101" t="str">
        <f t="shared" si="68"/>
        <v>07</v>
      </c>
      <c r="M846" s="101" t="str">
        <f t="shared" si="69"/>
        <v>02</v>
      </c>
    </row>
    <row r="847" spans="1:13">
      <c r="A847" t="str">
        <f t="shared" si="65"/>
        <v>環太平洋大学2846男</v>
      </c>
      <c r="B847" s="149" t="s">
        <v>2618</v>
      </c>
      <c r="C847" s="149">
        <v>2846</v>
      </c>
      <c r="D847" s="149" t="s">
        <v>2666</v>
      </c>
      <c r="E847" s="149" t="s">
        <v>2667</v>
      </c>
      <c r="F847" s="149" t="s">
        <v>260</v>
      </c>
      <c r="G847" s="149" t="s">
        <v>143</v>
      </c>
      <c r="H847" s="151" t="str">
        <f t="shared" si="66"/>
        <v>1993/11/16</v>
      </c>
      <c r="I847" s="149" t="s">
        <v>269</v>
      </c>
      <c r="J847" s="149" t="s">
        <v>3895</v>
      </c>
      <c r="K847" s="101" t="str">
        <f t="shared" si="67"/>
        <v>93</v>
      </c>
      <c r="L847" s="101" t="str">
        <f t="shared" si="68"/>
        <v>11</v>
      </c>
      <c r="M847" s="101" t="str">
        <f t="shared" si="69"/>
        <v>16</v>
      </c>
    </row>
    <row r="848" spans="1:13">
      <c r="A848" t="str">
        <f t="shared" si="65"/>
        <v>環太平洋大学2847男</v>
      </c>
      <c r="B848" s="149" t="s">
        <v>2618</v>
      </c>
      <c r="C848" s="149">
        <v>2847</v>
      </c>
      <c r="D848" s="149" t="s">
        <v>2668</v>
      </c>
      <c r="E848" s="149" t="s">
        <v>2669</v>
      </c>
      <c r="F848" s="149" t="s">
        <v>260</v>
      </c>
      <c r="G848" s="149" t="s">
        <v>143</v>
      </c>
      <c r="H848" s="151" t="str">
        <f t="shared" si="66"/>
        <v>1994/02/25</v>
      </c>
      <c r="I848" s="149" t="s">
        <v>299</v>
      </c>
      <c r="J848" s="149" t="s">
        <v>332</v>
      </c>
      <c r="K848" s="101" t="str">
        <f t="shared" si="67"/>
        <v>94</v>
      </c>
      <c r="L848" s="101" t="str">
        <f t="shared" si="68"/>
        <v>02</v>
      </c>
      <c r="M848" s="101" t="str">
        <f t="shared" si="69"/>
        <v>25</v>
      </c>
    </row>
    <row r="849" spans="1:13">
      <c r="A849" t="str">
        <f t="shared" si="65"/>
        <v>環太平洋大学2848男</v>
      </c>
      <c r="B849" s="149" t="s">
        <v>2618</v>
      </c>
      <c r="C849" s="149">
        <v>2848</v>
      </c>
      <c r="D849" s="149" t="s">
        <v>2670</v>
      </c>
      <c r="E849" s="149" t="s">
        <v>2671</v>
      </c>
      <c r="F849" s="149" t="s">
        <v>260</v>
      </c>
      <c r="G849" s="149" t="s">
        <v>143</v>
      </c>
      <c r="H849" s="151" t="str">
        <f t="shared" si="66"/>
        <v>1993/06/27</v>
      </c>
      <c r="I849" s="149" t="s">
        <v>277</v>
      </c>
      <c r="J849" s="149" t="s">
        <v>3896</v>
      </c>
      <c r="K849" s="101" t="str">
        <f t="shared" si="67"/>
        <v>93</v>
      </c>
      <c r="L849" s="101" t="str">
        <f t="shared" si="68"/>
        <v>06</v>
      </c>
      <c r="M849" s="101" t="str">
        <f t="shared" si="69"/>
        <v>27</v>
      </c>
    </row>
    <row r="850" spans="1:13">
      <c r="A850" t="str">
        <f t="shared" si="65"/>
        <v>環太平洋大学2849男</v>
      </c>
      <c r="B850" s="149" t="s">
        <v>2618</v>
      </c>
      <c r="C850" s="149">
        <v>2849</v>
      </c>
      <c r="D850" s="149" t="s">
        <v>2672</v>
      </c>
      <c r="E850" s="149" t="s">
        <v>2673</v>
      </c>
      <c r="F850" s="149" t="s">
        <v>260</v>
      </c>
      <c r="G850" s="149" t="s">
        <v>143</v>
      </c>
      <c r="H850" s="151" t="str">
        <f t="shared" si="66"/>
        <v>1993/12/14</v>
      </c>
      <c r="I850" s="149" t="s">
        <v>269</v>
      </c>
      <c r="J850" s="149" t="s">
        <v>515</v>
      </c>
      <c r="K850" s="101" t="str">
        <f t="shared" si="67"/>
        <v>93</v>
      </c>
      <c r="L850" s="101" t="str">
        <f t="shared" si="68"/>
        <v>12</v>
      </c>
      <c r="M850" s="101" t="str">
        <f t="shared" si="69"/>
        <v>14</v>
      </c>
    </row>
    <row r="851" spans="1:13">
      <c r="A851" t="str">
        <f t="shared" si="65"/>
        <v>環太平洋大学2850男</v>
      </c>
      <c r="B851" s="149" t="s">
        <v>2618</v>
      </c>
      <c r="C851" s="149">
        <v>2850</v>
      </c>
      <c r="D851" s="149" t="s">
        <v>2674</v>
      </c>
      <c r="E851" s="149" t="s">
        <v>2675</v>
      </c>
      <c r="F851" s="149" t="s">
        <v>265</v>
      </c>
      <c r="G851" s="149" t="s">
        <v>143</v>
      </c>
      <c r="H851" s="151" t="str">
        <f t="shared" si="66"/>
        <v>1994/06/04</v>
      </c>
      <c r="I851" s="149" t="s">
        <v>289</v>
      </c>
      <c r="J851" s="149" t="s">
        <v>891</v>
      </c>
      <c r="K851" s="101" t="str">
        <f t="shared" si="67"/>
        <v>94</v>
      </c>
      <c r="L851" s="101" t="str">
        <f t="shared" si="68"/>
        <v>06</v>
      </c>
      <c r="M851" s="101" t="str">
        <f t="shared" si="69"/>
        <v>04</v>
      </c>
    </row>
    <row r="852" spans="1:13">
      <c r="A852" t="str">
        <f t="shared" si="65"/>
        <v>環太平洋大学2851男</v>
      </c>
      <c r="B852" s="149" t="s">
        <v>2618</v>
      </c>
      <c r="C852" s="149">
        <v>2851</v>
      </c>
      <c r="D852" s="149" t="s">
        <v>2676</v>
      </c>
      <c r="E852" s="149" t="s">
        <v>2677</v>
      </c>
      <c r="F852" s="149" t="s">
        <v>265</v>
      </c>
      <c r="G852" s="149" t="s">
        <v>143</v>
      </c>
      <c r="H852" s="151" t="str">
        <f t="shared" si="66"/>
        <v>1995/03/29</v>
      </c>
      <c r="I852" s="149" t="s">
        <v>269</v>
      </c>
      <c r="J852" s="149" t="s">
        <v>682</v>
      </c>
      <c r="K852" s="101" t="str">
        <f t="shared" si="67"/>
        <v>95</v>
      </c>
      <c r="L852" s="101" t="str">
        <f t="shared" si="68"/>
        <v>03</v>
      </c>
      <c r="M852" s="101" t="str">
        <f t="shared" si="69"/>
        <v>29</v>
      </c>
    </row>
    <row r="853" spans="1:13">
      <c r="A853" t="str">
        <f t="shared" si="65"/>
        <v>環太平洋大学2852男</v>
      </c>
      <c r="B853" s="149" t="s">
        <v>2618</v>
      </c>
      <c r="C853" s="149">
        <v>2852</v>
      </c>
      <c r="D853" s="149" t="s">
        <v>2678</v>
      </c>
      <c r="E853" s="149" t="s">
        <v>2679</v>
      </c>
      <c r="F853" s="149" t="s">
        <v>265</v>
      </c>
      <c r="G853" s="149" t="s">
        <v>143</v>
      </c>
      <c r="H853" s="151" t="str">
        <f t="shared" si="66"/>
        <v>1994/08/05</v>
      </c>
      <c r="I853" s="149" t="s">
        <v>281</v>
      </c>
      <c r="J853" s="149" t="s">
        <v>512</v>
      </c>
      <c r="K853" s="101" t="str">
        <f t="shared" si="67"/>
        <v>94</v>
      </c>
      <c r="L853" s="101" t="str">
        <f t="shared" si="68"/>
        <v>08</v>
      </c>
      <c r="M853" s="101" t="str">
        <f t="shared" si="69"/>
        <v>05</v>
      </c>
    </row>
    <row r="854" spans="1:13">
      <c r="A854" t="str">
        <f t="shared" si="65"/>
        <v>環太平洋大学2853男</v>
      </c>
      <c r="B854" s="149" t="s">
        <v>2618</v>
      </c>
      <c r="C854" s="149">
        <v>2853</v>
      </c>
      <c r="D854" s="149" t="s">
        <v>2680</v>
      </c>
      <c r="E854" s="149" t="s">
        <v>2681</v>
      </c>
      <c r="F854" s="149" t="s">
        <v>265</v>
      </c>
      <c r="G854" s="149" t="s">
        <v>143</v>
      </c>
      <c r="H854" s="151" t="str">
        <f t="shared" si="66"/>
        <v>1994/11/07</v>
      </c>
      <c r="I854" s="149" t="s">
        <v>301</v>
      </c>
      <c r="J854" s="149" t="s">
        <v>3897</v>
      </c>
      <c r="K854" s="101" t="str">
        <f t="shared" si="67"/>
        <v>94</v>
      </c>
      <c r="L854" s="101" t="str">
        <f t="shared" si="68"/>
        <v>11</v>
      </c>
      <c r="M854" s="101" t="str">
        <f t="shared" si="69"/>
        <v>07</v>
      </c>
    </row>
    <row r="855" spans="1:13">
      <c r="A855" t="str">
        <f t="shared" si="65"/>
        <v>環太平洋大学2854男</v>
      </c>
      <c r="B855" s="149" t="s">
        <v>2618</v>
      </c>
      <c r="C855" s="149">
        <v>2854</v>
      </c>
      <c r="D855" s="149" t="s">
        <v>2682</v>
      </c>
      <c r="E855" s="149" t="s">
        <v>2683</v>
      </c>
      <c r="F855" s="149" t="s">
        <v>265</v>
      </c>
      <c r="G855" s="149" t="s">
        <v>143</v>
      </c>
      <c r="H855" s="151" t="str">
        <f t="shared" si="66"/>
        <v>1994/06/01</v>
      </c>
      <c r="I855" s="149" t="s">
        <v>263</v>
      </c>
      <c r="J855" s="149" t="s">
        <v>596</v>
      </c>
      <c r="K855" s="101" t="str">
        <f t="shared" si="67"/>
        <v>94</v>
      </c>
      <c r="L855" s="101" t="str">
        <f t="shared" si="68"/>
        <v>06</v>
      </c>
      <c r="M855" s="101" t="str">
        <f t="shared" si="69"/>
        <v>01</v>
      </c>
    </row>
    <row r="856" spans="1:13">
      <c r="A856" t="str">
        <f t="shared" si="65"/>
        <v>環太平洋大学2855男</v>
      </c>
      <c r="B856" s="149" t="s">
        <v>2618</v>
      </c>
      <c r="C856" s="149">
        <v>2855</v>
      </c>
      <c r="D856" s="149" t="s">
        <v>2684</v>
      </c>
      <c r="E856" s="149" t="s">
        <v>2685</v>
      </c>
      <c r="F856" s="149" t="s">
        <v>265</v>
      </c>
      <c r="G856" s="149" t="s">
        <v>143</v>
      </c>
      <c r="H856" s="151" t="str">
        <f t="shared" si="66"/>
        <v>1994/11/25</v>
      </c>
      <c r="I856" s="149" t="s">
        <v>290</v>
      </c>
      <c r="J856" s="149" t="s">
        <v>784</v>
      </c>
      <c r="K856" s="101" t="str">
        <f t="shared" si="67"/>
        <v>94</v>
      </c>
      <c r="L856" s="101" t="str">
        <f t="shared" si="68"/>
        <v>11</v>
      </c>
      <c r="M856" s="101" t="str">
        <f t="shared" si="69"/>
        <v>25</v>
      </c>
    </row>
    <row r="857" spans="1:13">
      <c r="A857" t="str">
        <f t="shared" si="65"/>
        <v>環太平洋大学2856男</v>
      </c>
      <c r="B857" s="149" t="s">
        <v>2618</v>
      </c>
      <c r="C857" s="149">
        <v>2856</v>
      </c>
      <c r="D857" s="149" t="s">
        <v>2686</v>
      </c>
      <c r="E857" s="149" t="s">
        <v>2687</v>
      </c>
      <c r="F857" s="149" t="s">
        <v>265</v>
      </c>
      <c r="G857" s="149" t="s">
        <v>143</v>
      </c>
      <c r="H857" s="151" t="str">
        <f t="shared" si="66"/>
        <v>1994/04/16</v>
      </c>
      <c r="I857" s="149" t="s">
        <v>277</v>
      </c>
      <c r="J857" s="149" t="s">
        <v>3898</v>
      </c>
      <c r="K857" s="101" t="str">
        <f t="shared" si="67"/>
        <v>94</v>
      </c>
      <c r="L857" s="101" t="str">
        <f t="shared" si="68"/>
        <v>04</v>
      </c>
      <c r="M857" s="101" t="str">
        <f t="shared" si="69"/>
        <v>16</v>
      </c>
    </row>
    <row r="858" spans="1:13">
      <c r="A858" t="str">
        <f t="shared" si="65"/>
        <v>環太平洋大学2857男</v>
      </c>
      <c r="B858" s="149" t="s">
        <v>2618</v>
      </c>
      <c r="C858" s="149">
        <v>2857</v>
      </c>
      <c r="D858" s="149" t="s">
        <v>2688</v>
      </c>
      <c r="E858" s="149" t="s">
        <v>2689</v>
      </c>
      <c r="F858" s="149" t="s">
        <v>265</v>
      </c>
      <c r="G858" s="149" t="s">
        <v>143</v>
      </c>
      <c r="H858" s="151" t="str">
        <f t="shared" si="66"/>
        <v>1994/04/10</v>
      </c>
      <c r="I858" s="149" t="s">
        <v>277</v>
      </c>
      <c r="J858" s="149" t="s">
        <v>3775</v>
      </c>
      <c r="K858" s="101" t="str">
        <f t="shared" si="67"/>
        <v>94</v>
      </c>
      <c r="L858" s="101" t="str">
        <f t="shared" si="68"/>
        <v>04</v>
      </c>
      <c r="M858" s="101" t="str">
        <f t="shared" si="69"/>
        <v>10</v>
      </c>
    </row>
    <row r="859" spans="1:13">
      <c r="A859" t="str">
        <f t="shared" si="65"/>
        <v>環太平洋大学2858男</v>
      </c>
      <c r="B859" s="149" t="s">
        <v>2618</v>
      </c>
      <c r="C859" s="149">
        <v>2858</v>
      </c>
      <c r="D859" s="149" t="s">
        <v>2690</v>
      </c>
      <c r="E859" s="149" t="s">
        <v>2691</v>
      </c>
      <c r="F859" s="149" t="s">
        <v>265</v>
      </c>
      <c r="G859" s="149" t="s">
        <v>143</v>
      </c>
      <c r="H859" s="151" t="str">
        <f t="shared" si="66"/>
        <v>1995/01/07</v>
      </c>
      <c r="I859" s="149" t="s">
        <v>277</v>
      </c>
      <c r="J859" s="149" t="s">
        <v>476</v>
      </c>
      <c r="K859" s="101" t="str">
        <f t="shared" si="67"/>
        <v>95</v>
      </c>
      <c r="L859" s="101" t="str">
        <f t="shared" si="68"/>
        <v>01</v>
      </c>
      <c r="M859" s="101" t="str">
        <f t="shared" si="69"/>
        <v>07</v>
      </c>
    </row>
    <row r="860" spans="1:13">
      <c r="A860" t="str">
        <f t="shared" si="65"/>
        <v>環太平洋大学2859男</v>
      </c>
      <c r="B860" s="149" t="s">
        <v>2618</v>
      </c>
      <c r="C860" s="149">
        <v>2859</v>
      </c>
      <c r="D860" s="149" t="s">
        <v>2692</v>
      </c>
      <c r="E860" s="149" t="s">
        <v>2693</v>
      </c>
      <c r="F860" s="149" t="s">
        <v>265</v>
      </c>
      <c r="G860" s="149" t="s">
        <v>143</v>
      </c>
      <c r="H860" s="151" t="str">
        <f t="shared" si="66"/>
        <v>1994/08/29</v>
      </c>
      <c r="I860" s="149" t="s">
        <v>304</v>
      </c>
      <c r="J860" s="149" t="s">
        <v>442</v>
      </c>
      <c r="K860" s="101" t="str">
        <f t="shared" si="67"/>
        <v>94</v>
      </c>
      <c r="L860" s="101" t="str">
        <f t="shared" si="68"/>
        <v>08</v>
      </c>
      <c r="M860" s="101" t="str">
        <f t="shared" si="69"/>
        <v>29</v>
      </c>
    </row>
    <row r="861" spans="1:13">
      <c r="A861" t="str">
        <f t="shared" si="65"/>
        <v>環太平洋大学2860男</v>
      </c>
      <c r="B861" s="149" t="s">
        <v>2618</v>
      </c>
      <c r="C861" s="149">
        <v>2860</v>
      </c>
      <c r="D861" s="149" t="s">
        <v>2694</v>
      </c>
      <c r="E861" s="149" t="s">
        <v>2695</v>
      </c>
      <c r="F861" s="149" t="s">
        <v>265</v>
      </c>
      <c r="G861" s="149" t="s">
        <v>143</v>
      </c>
      <c r="H861" s="151" t="str">
        <f t="shared" si="66"/>
        <v>1995/03/04</v>
      </c>
      <c r="I861" s="149" t="s">
        <v>295</v>
      </c>
      <c r="J861" s="149" t="s">
        <v>675</v>
      </c>
      <c r="K861" s="101" t="str">
        <f t="shared" si="67"/>
        <v>95</v>
      </c>
      <c r="L861" s="101" t="str">
        <f t="shared" si="68"/>
        <v>03</v>
      </c>
      <c r="M861" s="101" t="str">
        <f t="shared" si="69"/>
        <v>04</v>
      </c>
    </row>
    <row r="862" spans="1:13">
      <c r="A862" t="str">
        <f t="shared" si="65"/>
        <v>環太平洋大学2861男</v>
      </c>
      <c r="B862" s="149" t="s">
        <v>2618</v>
      </c>
      <c r="C862" s="149">
        <v>2861</v>
      </c>
      <c r="D862" s="149" t="s">
        <v>2696</v>
      </c>
      <c r="E862" s="149" t="s">
        <v>2697</v>
      </c>
      <c r="F862" s="149" t="s">
        <v>265</v>
      </c>
      <c r="G862" s="149" t="s">
        <v>143</v>
      </c>
      <c r="H862" s="151" t="str">
        <f t="shared" si="66"/>
        <v>1994/10/04</v>
      </c>
      <c r="I862" s="149" t="s">
        <v>289</v>
      </c>
      <c r="J862" s="149" t="s">
        <v>417</v>
      </c>
      <c r="K862" s="101" t="str">
        <f t="shared" si="67"/>
        <v>94</v>
      </c>
      <c r="L862" s="101" t="str">
        <f t="shared" si="68"/>
        <v>10</v>
      </c>
      <c r="M862" s="101" t="str">
        <f t="shared" si="69"/>
        <v>04</v>
      </c>
    </row>
    <row r="863" spans="1:13">
      <c r="A863" t="str">
        <f t="shared" si="65"/>
        <v>環太平洋大学2862男</v>
      </c>
      <c r="B863" s="149" t="s">
        <v>2618</v>
      </c>
      <c r="C863" s="149">
        <v>2862</v>
      </c>
      <c r="D863" s="149" t="s">
        <v>2698</v>
      </c>
      <c r="E863" s="149" t="s">
        <v>2699</v>
      </c>
      <c r="F863" s="149" t="s">
        <v>265</v>
      </c>
      <c r="G863" s="149" t="s">
        <v>143</v>
      </c>
      <c r="H863" s="151" t="str">
        <f t="shared" si="66"/>
        <v>1994/09/13</v>
      </c>
      <c r="I863" s="149" t="s">
        <v>289</v>
      </c>
      <c r="J863" s="149" t="s">
        <v>536</v>
      </c>
      <c r="K863" s="101" t="str">
        <f t="shared" si="67"/>
        <v>94</v>
      </c>
      <c r="L863" s="101" t="str">
        <f t="shared" si="68"/>
        <v>09</v>
      </c>
      <c r="M863" s="101" t="str">
        <f t="shared" si="69"/>
        <v>13</v>
      </c>
    </row>
    <row r="864" spans="1:13">
      <c r="A864" t="str">
        <f t="shared" si="65"/>
        <v>環太平洋大学2863男</v>
      </c>
      <c r="B864" s="149" t="s">
        <v>2618</v>
      </c>
      <c r="C864" s="149">
        <v>2863</v>
      </c>
      <c r="D864" s="149" t="s">
        <v>2700</v>
      </c>
      <c r="E864" s="149" t="s">
        <v>2701</v>
      </c>
      <c r="F864" s="149" t="s">
        <v>265</v>
      </c>
      <c r="G864" s="149" t="s">
        <v>143</v>
      </c>
      <c r="H864" s="151" t="str">
        <f t="shared" si="66"/>
        <v>1994/07/27</v>
      </c>
      <c r="I864" s="149" t="s">
        <v>277</v>
      </c>
      <c r="J864" s="149" t="s">
        <v>579</v>
      </c>
      <c r="K864" s="101" t="str">
        <f t="shared" si="67"/>
        <v>94</v>
      </c>
      <c r="L864" s="101" t="str">
        <f t="shared" si="68"/>
        <v>07</v>
      </c>
      <c r="M864" s="101" t="str">
        <f t="shared" si="69"/>
        <v>27</v>
      </c>
    </row>
    <row r="865" spans="1:13">
      <c r="A865" t="str">
        <f t="shared" si="65"/>
        <v>環太平洋大学2864男</v>
      </c>
      <c r="B865" s="149" t="s">
        <v>2618</v>
      </c>
      <c r="C865" s="149">
        <v>2864</v>
      </c>
      <c r="D865" s="149" t="s">
        <v>2702</v>
      </c>
      <c r="E865" s="149" t="s">
        <v>2703</v>
      </c>
      <c r="F865" s="149" t="s">
        <v>265</v>
      </c>
      <c r="G865" s="149" t="s">
        <v>143</v>
      </c>
      <c r="H865" s="151" t="str">
        <f t="shared" si="66"/>
        <v>1995/01/02</v>
      </c>
      <c r="I865" s="149" t="s">
        <v>277</v>
      </c>
      <c r="J865" s="149" t="s">
        <v>3677</v>
      </c>
      <c r="K865" s="101" t="str">
        <f t="shared" si="67"/>
        <v>95</v>
      </c>
      <c r="L865" s="101" t="str">
        <f t="shared" si="68"/>
        <v>01</v>
      </c>
      <c r="M865" s="101" t="str">
        <f t="shared" si="69"/>
        <v>02</v>
      </c>
    </row>
    <row r="866" spans="1:13">
      <c r="A866" t="str">
        <f t="shared" si="65"/>
        <v>環太平洋大学2865男</v>
      </c>
      <c r="B866" s="149" t="s">
        <v>2618</v>
      </c>
      <c r="C866" s="149">
        <v>2865</v>
      </c>
      <c r="D866" s="149" t="s">
        <v>2704</v>
      </c>
      <c r="E866" s="149" t="s">
        <v>2705</v>
      </c>
      <c r="F866" s="149" t="s">
        <v>265</v>
      </c>
      <c r="G866" s="149" t="s">
        <v>143</v>
      </c>
      <c r="H866" s="151" t="str">
        <f t="shared" si="66"/>
        <v>1995/01/30</v>
      </c>
      <c r="I866" s="149" t="s">
        <v>281</v>
      </c>
      <c r="J866" s="149" t="s">
        <v>449</v>
      </c>
      <c r="K866" s="101" t="str">
        <f t="shared" si="67"/>
        <v>95</v>
      </c>
      <c r="L866" s="101" t="str">
        <f t="shared" si="68"/>
        <v>01</v>
      </c>
      <c r="M866" s="101" t="str">
        <f t="shared" si="69"/>
        <v>30</v>
      </c>
    </row>
    <row r="867" spans="1:13">
      <c r="A867" t="str">
        <f t="shared" si="65"/>
        <v>環太平洋大学2866男</v>
      </c>
      <c r="B867" s="149" t="s">
        <v>2618</v>
      </c>
      <c r="C867" s="149">
        <v>2866</v>
      </c>
      <c r="D867" s="149" t="s">
        <v>2706</v>
      </c>
      <c r="E867" s="149" t="s">
        <v>2707</v>
      </c>
      <c r="F867" s="149" t="s">
        <v>265</v>
      </c>
      <c r="G867" s="149" t="s">
        <v>143</v>
      </c>
      <c r="H867" s="151" t="str">
        <f t="shared" si="66"/>
        <v>1994/09/17</v>
      </c>
      <c r="I867" s="149" t="s">
        <v>275</v>
      </c>
      <c r="J867" s="149" t="s">
        <v>380</v>
      </c>
      <c r="K867" s="101" t="str">
        <f t="shared" si="67"/>
        <v>94</v>
      </c>
      <c r="L867" s="101" t="str">
        <f t="shared" si="68"/>
        <v>09</v>
      </c>
      <c r="M867" s="101" t="str">
        <f t="shared" si="69"/>
        <v>17</v>
      </c>
    </row>
    <row r="868" spans="1:13">
      <c r="A868" t="str">
        <f t="shared" si="65"/>
        <v>環太平洋大学2867男</v>
      </c>
      <c r="B868" s="149" t="s">
        <v>2618</v>
      </c>
      <c r="C868" s="149">
        <v>2867</v>
      </c>
      <c r="D868" s="149" t="s">
        <v>2708</v>
      </c>
      <c r="E868" s="149" t="s">
        <v>2709</v>
      </c>
      <c r="F868" s="149" t="s">
        <v>265</v>
      </c>
      <c r="G868" s="149" t="s">
        <v>143</v>
      </c>
      <c r="H868" s="151" t="str">
        <f t="shared" si="66"/>
        <v>1994/10/28</v>
      </c>
      <c r="I868" s="149" t="s">
        <v>276</v>
      </c>
      <c r="J868" s="149" t="s">
        <v>3800</v>
      </c>
      <c r="K868" s="101" t="str">
        <f t="shared" si="67"/>
        <v>94</v>
      </c>
      <c r="L868" s="101" t="str">
        <f t="shared" si="68"/>
        <v>10</v>
      </c>
      <c r="M868" s="101" t="str">
        <f t="shared" si="69"/>
        <v>28</v>
      </c>
    </row>
    <row r="869" spans="1:13">
      <c r="A869" t="str">
        <f t="shared" si="65"/>
        <v>環太平洋大学2868男</v>
      </c>
      <c r="B869" s="149" t="s">
        <v>2618</v>
      </c>
      <c r="C869" s="149">
        <v>2868</v>
      </c>
      <c r="D869" s="149" t="s">
        <v>2710</v>
      </c>
      <c r="E869" s="149" t="s">
        <v>2711</v>
      </c>
      <c r="F869" s="149" t="s">
        <v>265</v>
      </c>
      <c r="G869" s="149" t="s">
        <v>143</v>
      </c>
      <c r="H869" s="151" t="str">
        <f t="shared" si="66"/>
        <v>1994/10/14</v>
      </c>
      <c r="I869" s="149" t="s">
        <v>276</v>
      </c>
      <c r="J869" s="149" t="s">
        <v>541</v>
      </c>
      <c r="K869" s="101" t="str">
        <f t="shared" si="67"/>
        <v>94</v>
      </c>
      <c r="L869" s="101" t="str">
        <f t="shared" si="68"/>
        <v>10</v>
      </c>
      <c r="M869" s="101" t="str">
        <f t="shared" si="69"/>
        <v>14</v>
      </c>
    </row>
    <row r="870" spans="1:13">
      <c r="A870" t="str">
        <f t="shared" si="65"/>
        <v>環太平洋大学2869男</v>
      </c>
      <c r="B870" s="149" t="s">
        <v>2618</v>
      </c>
      <c r="C870" s="149">
        <v>2869</v>
      </c>
      <c r="D870" s="149" t="s">
        <v>2712</v>
      </c>
      <c r="E870" s="149" t="s">
        <v>2713</v>
      </c>
      <c r="F870" s="149" t="s">
        <v>265</v>
      </c>
      <c r="G870" s="149" t="s">
        <v>143</v>
      </c>
      <c r="H870" s="151" t="str">
        <f t="shared" si="66"/>
        <v>1994/06/14</v>
      </c>
      <c r="I870" s="149" t="s">
        <v>5</v>
      </c>
      <c r="J870" s="149" t="s">
        <v>3708</v>
      </c>
      <c r="K870" s="101" t="str">
        <f t="shared" si="67"/>
        <v>94</v>
      </c>
      <c r="L870" s="101" t="str">
        <f t="shared" si="68"/>
        <v>06</v>
      </c>
      <c r="M870" s="101" t="str">
        <f t="shared" si="69"/>
        <v>14</v>
      </c>
    </row>
    <row r="871" spans="1:13">
      <c r="A871" t="str">
        <f t="shared" si="65"/>
        <v>環太平洋大学2870男</v>
      </c>
      <c r="B871" s="149" t="s">
        <v>2618</v>
      </c>
      <c r="C871" s="149">
        <v>2870</v>
      </c>
      <c r="D871" s="149" t="s">
        <v>2714</v>
      </c>
      <c r="E871" s="149" t="s">
        <v>2715</v>
      </c>
      <c r="F871" s="149" t="s">
        <v>265</v>
      </c>
      <c r="G871" s="149" t="s">
        <v>143</v>
      </c>
      <c r="H871" s="151" t="str">
        <f t="shared" si="66"/>
        <v>1994/05/12</v>
      </c>
      <c r="I871" s="149" t="s">
        <v>281</v>
      </c>
      <c r="J871" s="149" t="s">
        <v>3702</v>
      </c>
      <c r="K871" s="101" t="str">
        <f t="shared" si="67"/>
        <v>94</v>
      </c>
      <c r="L871" s="101" t="str">
        <f t="shared" si="68"/>
        <v>05</v>
      </c>
      <c r="M871" s="101" t="str">
        <f t="shared" si="69"/>
        <v>12</v>
      </c>
    </row>
    <row r="872" spans="1:13">
      <c r="A872" t="str">
        <f t="shared" si="65"/>
        <v>環太平洋大学2871男</v>
      </c>
      <c r="B872" s="149" t="s">
        <v>2618</v>
      </c>
      <c r="C872" s="149">
        <v>2871</v>
      </c>
      <c r="D872" s="149" t="s">
        <v>2716</v>
      </c>
      <c r="E872" s="149" t="s">
        <v>2717</v>
      </c>
      <c r="F872" s="149" t="s">
        <v>265</v>
      </c>
      <c r="G872" s="149" t="s">
        <v>143</v>
      </c>
      <c r="H872" s="151" t="str">
        <f t="shared" si="66"/>
        <v>1994/08/18</v>
      </c>
      <c r="I872" s="149" t="s">
        <v>299</v>
      </c>
      <c r="J872" s="149" t="s">
        <v>929</v>
      </c>
      <c r="K872" s="101" t="str">
        <f t="shared" si="67"/>
        <v>94</v>
      </c>
      <c r="L872" s="101" t="str">
        <f t="shared" si="68"/>
        <v>08</v>
      </c>
      <c r="M872" s="101" t="str">
        <f t="shared" si="69"/>
        <v>18</v>
      </c>
    </row>
    <row r="873" spans="1:13">
      <c r="A873" t="str">
        <f t="shared" si="65"/>
        <v>環太平洋大学2872男</v>
      </c>
      <c r="B873" s="149" t="s">
        <v>2618</v>
      </c>
      <c r="C873" s="149">
        <v>2872</v>
      </c>
      <c r="D873" s="149" t="s">
        <v>2718</v>
      </c>
      <c r="E873" s="149" t="s">
        <v>2719</v>
      </c>
      <c r="F873" s="149" t="s">
        <v>265</v>
      </c>
      <c r="G873" s="149" t="s">
        <v>143</v>
      </c>
      <c r="H873" s="151" t="str">
        <f t="shared" si="66"/>
        <v>1994/06/18</v>
      </c>
      <c r="I873" s="149" t="s">
        <v>295</v>
      </c>
      <c r="J873" s="149" t="s">
        <v>517</v>
      </c>
      <c r="K873" s="101" t="str">
        <f t="shared" si="67"/>
        <v>94</v>
      </c>
      <c r="L873" s="101" t="str">
        <f t="shared" si="68"/>
        <v>06</v>
      </c>
      <c r="M873" s="101" t="str">
        <f t="shared" si="69"/>
        <v>18</v>
      </c>
    </row>
    <row r="874" spans="1:13">
      <c r="A874" t="str">
        <f t="shared" si="65"/>
        <v>環太平洋大学2873男</v>
      </c>
      <c r="B874" s="149" t="s">
        <v>2618</v>
      </c>
      <c r="C874" s="149">
        <v>2873</v>
      </c>
      <c r="D874" s="149" t="s">
        <v>2720</v>
      </c>
      <c r="E874" s="149" t="s">
        <v>2721</v>
      </c>
      <c r="F874" s="149" t="s">
        <v>265</v>
      </c>
      <c r="G874" s="149" t="s">
        <v>143</v>
      </c>
      <c r="H874" s="151" t="str">
        <f t="shared" si="66"/>
        <v>1995/01/16</v>
      </c>
      <c r="I874" s="149" t="s">
        <v>291</v>
      </c>
      <c r="J874" s="149" t="s">
        <v>338</v>
      </c>
      <c r="K874" s="101" t="str">
        <f t="shared" si="67"/>
        <v>95</v>
      </c>
      <c r="L874" s="101" t="str">
        <f t="shared" si="68"/>
        <v>01</v>
      </c>
      <c r="M874" s="101" t="str">
        <f t="shared" si="69"/>
        <v>16</v>
      </c>
    </row>
    <row r="875" spans="1:13">
      <c r="A875" t="str">
        <f t="shared" si="65"/>
        <v>環太平洋大学2874男</v>
      </c>
      <c r="B875" s="149" t="s">
        <v>2618</v>
      </c>
      <c r="C875" s="149">
        <v>2874</v>
      </c>
      <c r="D875" s="149" t="s">
        <v>2722</v>
      </c>
      <c r="E875" s="149" t="s">
        <v>2723</v>
      </c>
      <c r="F875" s="149" t="s">
        <v>265</v>
      </c>
      <c r="G875" s="149" t="s">
        <v>143</v>
      </c>
      <c r="H875" s="151" t="str">
        <f t="shared" si="66"/>
        <v>1994/09/06</v>
      </c>
      <c r="I875" s="149" t="s">
        <v>277</v>
      </c>
      <c r="J875" s="149" t="s">
        <v>520</v>
      </c>
      <c r="K875" s="101" t="str">
        <f t="shared" si="67"/>
        <v>94</v>
      </c>
      <c r="L875" s="101" t="str">
        <f t="shared" si="68"/>
        <v>09</v>
      </c>
      <c r="M875" s="101" t="str">
        <f t="shared" si="69"/>
        <v>06</v>
      </c>
    </row>
    <row r="876" spans="1:13">
      <c r="A876" t="str">
        <f t="shared" si="65"/>
        <v>環太平洋大学2875男</v>
      </c>
      <c r="B876" s="149" t="s">
        <v>2618</v>
      </c>
      <c r="C876" s="149">
        <v>2875</v>
      </c>
      <c r="D876" s="149" t="s">
        <v>2724</v>
      </c>
      <c r="E876" s="149" t="s">
        <v>2725</v>
      </c>
      <c r="F876" s="149" t="s">
        <v>265</v>
      </c>
      <c r="G876" s="149" t="s">
        <v>143</v>
      </c>
      <c r="H876" s="151" t="str">
        <f t="shared" si="66"/>
        <v>1994/08/12</v>
      </c>
      <c r="I876" s="149" t="s">
        <v>299</v>
      </c>
      <c r="J876" s="149" t="s">
        <v>3899</v>
      </c>
      <c r="K876" s="101" t="str">
        <f t="shared" si="67"/>
        <v>94</v>
      </c>
      <c r="L876" s="101" t="str">
        <f t="shared" si="68"/>
        <v>08</v>
      </c>
      <c r="M876" s="101" t="str">
        <f t="shared" si="69"/>
        <v>12</v>
      </c>
    </row>
    <row r="877" spans="1:13">
      <c r="A877" t="str">
        <f t="shared" si="65"/>
        <v>環太平洋大学2876男</v>
      </c>
      <c r="B877" s="149" t="s">
        <v>2618</v>
      </c>
      <c r="C877" s="149">
        <v>2876</v>
      </c>
      <c r="D877" s="149" t="s">
        <v>2726</v>
      </c>
      <c r="E877" s="149" t="s">
        <v>2727</v>
      </c>
      <c r="F877" s="149" t="s">
        <v>265</v>
      </c>
      <c r="G877" s="149" t="s">
        <v>143</v>
      </c>
      <c r="H877" s="151" t="str">
        <f t="shared" si="66"/>
        <v>1994/08/07</v>
      </c>
      <c r="I877" s="149" t="s">
        <v>273</v>
      </c>
      <c r="J877" s="149" t="s">
        <v>3900</v>
      </c>
      <c r="K877" s="101" t="str">
        <f t="shared" si="67"/>
        <v>94</v>
      </c>
      <c r="L877" s="101" t="str">
        <f t="shared" si="68"/>
        <v>08</v>
      </c>
      <c r="M877" s="101" t="str">
        <f t="shared" si="69"/>
        <v>07</v>
      </c>
    </row>
    <row r="878" spans="1:13">
      <c r="A878" t="str">
        <f t="shared" si="65"/>
        <v>環太平洋大学2877男</v>
      </c>
      <c r="B878" s="149" t="s">
        <v>2618</v>
      </c>
      <c r="C878" s="149">
        <v>2877</v>
      </c>
      <c r="D878" s="149" t="s">
        <v>2728</v>
      </c>
      <c r="E878" s="149" t="s">
        <v>2729</v>
      </c>
      <c r="F878" s="149" t="s">
        <v>265</v>
      </c>
      <c r="G878" s="149" t="s">
        <v>143</v>
      </c>
      <c r="H878" s="151" t="str">
        <f t="shared" si="66"/>
        <v>1994/12/11</v>
      </c>
      <c r="I878" s="149" t="s">
        <v>295</v>
      </c>
      <c r="J878" s="149" t="s">
        <v>405</v>
      </c>
      <c r="K878" s="101" t="str">
        <f t="shared" si="67"/>
        <v>94</v>
      </c>
      <c r="L878" s="101" t="str">
        <f t="shared" si="68"/>
        <v>12</v>
      </c>
      <c r="M878" s="101" t="str">
        <f t="shared" si="69"/>
        <v>11</v>
      </c>
    </row>
    <row r="879" spans="1:13">
      <c r="A879" t="str">
        <f t="shared" si="65"/>
        <v>環太平洋大学2878男</v>
      </c>
      <c r="B879" s="149" t="s">
        <v>2618</v>
      </c>
      <c r="C879" s="149">
        <v>2878</v>
      </c>
      <c r="D879" s="149" t="s">
        <v>2730</v>
      </c>
      <c r="E879" s="149" t="s">
        <v>2731</v>
      </c>
      <c r="F879" s="149" t="s">
        <v>265</v>
      </c>
      <c r="G879" s="149" t="s">
        <v>143</v>
      </c>
      <c r="H879" s="151" t="str">
        <f t="shared" si="66"/>
        <v>1994/10/21</v>
      </c>
      <c r="I879" s="149" t="s">
        <v>299</v>
      </c>
      <c r="J879" s="149" t="s">
        <v>910</v>
      </c>
      <c r="K879" s="101" t="str">
        <f t="shared" si="67"/>
        <v>94</v>
      </c>
      <c r="L879" s="101" t="str">
        <f t="shared" si="68"/>
        <v>10</v>
      </c>
      <c r="M879" s="101" t="str">
        <f t="shared" si="69"/>
        <v>21</v>
      </c>
    </row>
    <row r="880" spans="1:13">
      <c r="A880" t="str">
        <f t="shared" si="65"/>
        <v>環太平洋大学2879男</v>
      </c>
      <c r="B880" s="149" t="s">
        <v>2618</v>
      </c>
      <c r="C880" s="149">
        <v>2879</v>
      </c>
      <c r="D880" s="149" t="s">
        <v>2732</v>
      </c>
      <c r="E880" s="149" t="s">
        <v>2733</v>
      </c>
      <c r="F880" s="149" t="s">
        <v>265</v>
      </c>
      <c r="G880" s="149" t="s">
        <v>143</v>
      </c>
      <c r="H880" s="151" t="str">
        <f t="shared" si="66"/>
        <v>1994/05/04</v>
      </c>
      <c r="I880" s="149" t="s">
        <v>282</v>
      </c>
      <c r="J880" s="149" t="s">
        <v>907</v>
      </c>
      <c r="K880" s="101" t="str">
        <f t="shared" si="67"/>
        <v>94</v>
      </c>
      <c r="L880" s="101" t="str">
        <f t="shared" si="68"/>
        <v>05</v>
      </c>
      <c r="M880" s="101" t="str">
        <f t="shared" si="69"/>
        <v>04</v>
      </c>
    </row>
    <row r="881" spans="1:13">
      <c r="A881" t="str">
        <f t="shared" si="65"/>
        <v>環太平洋大学2880男</v>
      </c>
      <c r="B881" s="149" t="s">
        <v>2618</v>
      </c>
      <c r="C881" s="149">
        <v>2880</v>
      </c>
      <c r="D881" s="149" t="s">
        <v>2734</v>
      </c>
      <c r="E881" s="149" t="s">
        <v>2735</v>
      </c>
      <c r="F881" s="149" t="s">
        <v>265</v>
      </c>
      <c r="G881" s="149" t="s">
        <v>143</v>
      </c>
      <c r="H881" s="151" t="str">
        <f t="shared" si="66"/>
        <v>1994/12/27</v>
      </c>
      <c r="I881" s="149" t="s">
        <v>289</v>
      </c>
      <c r="J881" s="149" t="s">
        <v>3901</v>
      </c>
      <c r="K881" s="101" t="str">
        <f t="shared" si="67"/>
        <v>94</v>
      </c>
      <c r="L881" s="101" t="str">
        <f t="shared" si="68"/>
        <v>12</v>
      </c>
      <c r="M881" s="101" t="str">
        <f t="shared" si="69"/>
        <v>27</v>
      </c>
    </row>
    <row r="882" spans="1:13">
      <c r="A882" t="str">
        <f t="shared" si="65"/>
        <v>環太平洋大学2881男</v>
      </c>
      <c r="B882" s="149" t="s">
        <v>2618</v>
      </c>
      <c r="C882" s="149">
        <v>2881</v>
      </c>
      <c r="D882" s="149" t="s">
        <v>2736</v>
      </c>
      <c r="E882" s="149" t="s">
        <v>2737</v>
      </c>
      <c r="F882" s="149" t="s">
        <v>265</v>
      </c>
      <c r="G882" s="149" t="s">
        <v>143</v>
      </c>
      <c r="H882" s="151" t="str">
        <f t="shared" si="66"/>
        <v>1994/05/18</v>
      </c>
      <c r="I882" s="149" t="s">
        <v>277</v>
      </c>
      <c r="J882" s="149" t="s">
        <v>894</v>
      </c>
      <c r="K882" s="101" t="str">
        <f t="shared" si="67"/>
        <v>94</v>
      </c>
      <c r="L882" s="101" t="str">
        <f t="shared" si="68"/>
        <v>05</v>
      </c>
      <c r="M882" s="101" t="str">
        <f t="shared" si="69"/>
        <v>18</v>
      </c>
    </row>
    <row r="883" spans="1:13">
      <c r="A883" t="str">
        <f t="shared" si="65"/>
        <v>環太平洋大学2882男</v>
      </c>
      <c r="B883" s="149" t="s">
        <v>2618</v>
      </c>
      <c r="C883" s="149">
        <v>2882</v>
      </c>
      <c r="D883" s="149" t="s">
        <v>2738</v>
      </c>
      <c r="E883" s="149" t="s">
        <v>2739</v>
      </c>
      <c r="F883" s="149" t="s">
        <v>265</v>
      </c>
      <c r="G883" s="149" t="s">
        <v>143</v>
      </c>
      <c r="H883" s="151" t="str">
        <f t="shared" si="66"/>
        <v>1994/06/19</v>
      </c>
      <c r="I883" s="149" t="s">
        <v>281</v>
      </c>
      <c r="J883" s="149" t="s">
        <v>522</v>
      </c>
      <c r="K883" s="101" t="str">
        <f t="shared" si="67"/>
        <v>94</v>
      </c>
      <c r="L883" s="101" t="str">
        <f t="shared" si="68"/>
        <v>06</v>
      </c>
      <c r="M883" s="101" t="str">
        <f t="shared" si="69"/>
        <v>19</v>
      </c>
    </row>
    <row r="884" spans="1:13">
      <c r="A884" t="str">
        <f t="shared" si="65"/>
        <v>環太平洋大学2883男</v>
      </c>
      <c r="B884" s="149" t="s">
        <v>2618</v>
      </c>
      <c r="C884" s="149">
        <v>2883</v>
      </c>
      <c r="D884" s="149" t="s">
        <v>2740</v>
      </c>
      <c r="E884" s="149" t="s">
        <v>2741</v>
      </c>
      <c r="F884" s="149" t="s">
        <v>265</v>
      </c>
      <c r="G884" s="149" t="s">
        <v>143</v>
      </c>
      <c r="H884" s="151" t="str">
        <f t="shared" si="66"/>
        <v>1994/04/26</v>
      </c>
      <c r="I884" s="149" t="s">
        <v>273</v>
      </c>
      <c r="J884" s="149" t="s">
        <v>440</v>
      </c>
      <c r="K884" s="101" t="str">
        <f t="shared" si="67"/>
        <v>94</v>
      </c>
      <c r="L884" s="101" t="str">
        <f t="shared" si="68"/>
        <v>04</v>
      </c>
      <c r="M884" s="101" t="str">
        <f t="shared" si="69"/>
        <v>26</v>
      </c>
    </row>
    <row r="885" spans="1:13">
      <c r="A885" t="str">
        <f t="shared" si="65"/>
        <v>環太平洋大学2884男</v>
      </c>
      <c r="B885" s="149" t="s">
        <v>2618</v>
      </c>
      <c r="C885" s="149">
        <v>2884</v>
      </c>
      <c r="D885" s="149" t="s">
        <v>2742</v>
      </c>
      <c r="E885" s="149" t="s">
        <v>2743</v>
      </c>
      <c r="F885" s="149" t="s">
        <v>265</v>
      </c>
      <c r="G885" s="149" t="s">
        <v>143</v>
      </c>
      <c r="H885" s="151" t="str">
        <f t="shared" si="66"/>
        <v>1994/05/24</v>
      </c>
      <c r="I885" s="149" t="s">
        <v>263</v>
      </c>
      <c r="J885" s="149" t="s">
        <v>592</v>
      </c>
      <c r="K885" s="101" t="str">
        <f t="shared" si="67"/>
        <v>94</v>
      </c>
      <c r="L885" s="101" t="str">
        <f t="shared" si="68"/>
        <v>05</v>
      </c>
      <c r="M885" s="101" t="str">
        <f t="shared" si="69"/>
        <v>24</v>
      </c>
    </row>
    <row r="886" spans="1:13">
      <c r="A886" t="str">
        <f t="shared" si="65"/>
        <v>環太平洋大学2885男</v>
      </c>
      <c r="B886" s="149" t="s">
        <v>2618</v>
      </c>
      <c r="C886" s="149">
        <v>2885</v>
      </c>
      <c r="D886" s="149" t="s">
        <v>2744</v>
      </c>
      <c r="E886" s="149" t="s">
        <v>2745</v>
      </c>
      <c r="F886" s="149" t="s">
        <v>265</v>
      </c>
      <c r="G886" s="149" t="s">
        <v>143</v>
      </c>
      <c r="H886" s="151" t="str">
        <f t="shared" si="66"/>
        <v>1994/11/14</v>
      </c>
      <c r="I886" s="149" t="s">
        <v>301</v>
      </c>
      <c r="J886" s="149" t="s">
        <v>788</v>
      </c>
      <c r="K886" s="101" t="str">
        <f t="shared" si="67"/>
        <v>94</v>
      </c>
      <c r="L886" s="101" t="str">
        <f t="shared" si="68"/>
        <v>11</v>
      </c>
      <c r="M886" s="101" t="str">
        <f t="shared" si="69"/>
        <v>14</v>
      </c>
    </row>
    <row r="887" spans="1:13">
      <c r="A887" t="str">
        <f t="shared" si="65"/>
        <v>環太平洋大学2886男</v>
      </c>
      <c r="B887" s="149" t="s">
        <v>2618</v>
      </c>
      <c r="C887" s="149">
        <v>2886</v>
      </c>
      <c r="D887" s="149" t="s">
        <v>2746</v>
      </c>
      <c r="E887" s="149" t="s">
        <v>2747</v>
      </c>
      <c r="F887" s="149" t="s">
        <v>267</v>
      </c>
      <c r="G887" s="149" t="s">
        <v>143</v>
      </c>
      <c r="H887" s="151" t="str">
        <f t="shared" si="66"/>
        <v>1995/11/21</v>
      </c>
      <c r="I887" s="149" t="s">
        <v>304</v>
      </c>
      <c r="J887" s="149" t="s">
        <v>612</v>
      </c>
      <c r="K887" s="101" t="str">
        <f t="shared" si="67"/>
        <v>95</v>
      </c>
      <c r="L887" s="101" t="str">
        <f t="shared" si="68"/>
        <v>11</v>
      </c>
      <c r="M887" s="101" t="str">
        <f t="shared" si="69"/>
        <v>21</v>
      </c>
    </row>
    <row r="888" spans="1:13">
      <c r="A888" t="str">
        <f t="shared" si="65"/>
        <v>環太平洋大学2887男</v>
      </c>
      <c r="B888" s="149" t="s">
        <v>2618</v>
      </c>
      <c r="C888" s="149">
        <v>2887</v>
      </c>
      <c r="D888" s="149" t="s">
        <v>2748</v>
      </c>
      <c r="E888" s="149" t="s">
        <v>2749</v>
      </c>
      <c r="F888" s="149" t="s">
        <v>267</v>
      </c>
      <c r="G888" s="149" t="s">
        <v>143</v>
      </c>
      <c r="H888" s="151" t="str">
        <f t="shared" si="66"/>
        <v>1995/10/28</v>
      </c>
      <c r="I888" s="149" t="s">
        <v>295</v>
      </c>
      <c r="J888" s="149" t="s">
        <v>3799</v>
      </c>
      <c r="K888" s="101" t="str">
        <f t="shared" si="67"/>
        <v>95</v>
      </c>
      <c r="L888" s="101" t="str">
        <f t="shared" si="68"/>
        <v>10</v>
      </c>
      <c r="M888" s="101" t="str">
        <f t="shared" si="69"/>
        <v>28</v>
      </c>
    </row>
    <row r="889" spans="1:13">
      <c r="A889" t="str">
        <f t="shared" si="65"/>
        <v>環太平洋大学2888男</v>
      </c>
      <c r="B889" s="149" t="s">
        <v>2618</v>
      </c>
      <c r="C889" s="149">
        <v>2888</v>
      </c>
      <c r="D889" s="149" t="s">
        <v>2750</v>
      </c>
      <c r="E889" s="149" t="s">
        <v>2751</v>
      </c>
      <c r="F889" s="149" t="s">
        <v>267</v>
      </c>
      <c r="G889" s="149" t="s">
        <v>143</v>
      </c>
      <c r="H889" s="151" t="str">
        <f t="shared" si="66"/>
        <v>1995/11/04</v>
      </c>
      <c r="I889" s="149" t="s">
        <v>276</v>
      </c>
      <c r="J889" s="149" t="s">
        <v>357</v>
      </c>
      <c r="K889" s="101" t="str">
        <f t="shared" si="67"/>
        <v>95</v>
      </c>
      <c r="L889" s="101" t="str">
        <f t="shared" si="68"/>
        <v>11</v>
      </c>
      <c r="M889" s="101" t="str">
        <f t="shared" si="69"/>
        <v>04</v>
      </c>
    </row>
    <row r="890" spans="1:13">
      <c r="A890" t="str">
        <f t="shared" si="65"/>
        <v>環太平洋大学2889男</v>
      </c>
      <c r="B890" s="149" t="s">
        <v>2618</v>
      </c>
      <c r="C890" s="149">
        <v>2889</v>
      </c>
      <c r="D890" s="149" t="s">
        <v>2752</v>
      </c>
      <c r="E890" s="149" t="s">
        <v>2753</v>
      </c>
      <c r="F890" s="149" t="s">
        <v>267</v>
      </c>
      <c r="G890" s="149" t="s">
        <v>143</v>
      </c>
      <c r="H890" s="151" t="str">
        <f t="shared" si="66"/>
        <v>1995/04/25</v>
      </c>
      <c r="I890" s="149" t="s">
        <v>289</v>
      </c>
      <c r="J890" s="149" t="s">
        <v>3881</v>
      </c>
      <c r="K890" s="101" t="str">
        <f t="shared" si="67"/>
        <v>95</v>
      </c>
      <c r="L890" s="101" t="str">
        <f t="shared" si="68"/>
        <v>04</v>
      </c>
      <c r="M890" s="101" t="str">
        <f t="shared" si="69"/>
        <v>25</v>
      </c>
    </row>
    <row r="891" spans="1:13">
      <c r="A891" t="str">
        <f t="shared" si="65"/>
        <v>環太平洋大学2890男</v>
      </c>
      <c r="B891" s="149" t="s">
        <v>2618</v>
      </c>
      <c r="C891" s="149">
        <v>2890</v>
      </c>
      <c r="D891" s="149" t="s">
        <v>2754</v>
      </c>
      <c r="E891" s="149" t="s">
        <v>2755</v>
      </c>
      <c r="F891" s="149" t="s">
        <v>267</v>
      </c>
      <c r="G891" s="149" t="s">
        <v>143</v>
      </c>
      <c r="H891" s="151" t="str">
        <f t="shared" si="66"/>
        <v>1995/05/08</v>
      </c>
      <c r="I891" s="149" t="s">
        <v>295</v>
      </c>
      <c r="J891" s="149" t="s">
        <v>385</v>
      </c>
      <c r="K891" s="101" t="str">
        <f t="shared" si="67"/>
        <v>95</v>
      </c>
      <c r="L891" s="101" t="str">
        <f t="shared" si="68"/>
        <v>05</v>
      </c>
      <c r="M891" s="101" t="str">
        <f t="shared" si="69"/>
        <v>08</v>
      </c>
    </row>
    <row r="892" spans="1:13">
      <c r="A892" t="str">
        <f t="shared" si="65"/>
        <v>環太平洋大学2891男</v>
      </c>
      <c r="B892" s="149" t="s">
        <v>2618</v>
      </c>
      <c r="C892" s="149">
        <v>2891</v>
      </c>
      <c r="D892" s="149" t="s">
        <v>2756</v>
      </c>
      <c r="E892" s="149" t="s">
        <v>2757</v>
      </c>
      <c r="F892" s="149" t="s">
        <v>267</v>
      </c>
      <c r="G892" s="149" t="s">
        <v>143</v>
      </c>
      <c r="H892" s="151" t="str">
        <f t="shared" si="66"/>
        <v>1995/11/17</v>
      </c>
      <c r="I892" s="149" t="s">
        <v>289</v>
      </c>
      <c r="J892" s="149" t="s">
        <v>3808</v>
      </c>
      <c r="K892" s="101" t="str">
        <f t="shared" si="67"/>
        <v>95</v>
      </c>
      <c r="L892" s="101" t="str">
        <f t="shared" si="68"/>
        <v>11</v>
      </c>
      <c r="M892" s="101" t="str">
        <f t="shared" si="69"/>
        <v>17</v>
      </c>
    </row>
    <row r="893" spans="1:13">
      <c r="A893" t="str">
        <f t="shared" si="65"/>
        <v>環太平洋大学2892男</v>
      </c>
      <c r="B893" s="149" t="s">
        <v>2618</v>
      </c>
      <c r="C893" s="149">
        <v>2892</v>
      </c>
      <c r="D893" s="149" t="s">
        <v>2758</v>
      </c>
      <c r="E893" s="149" t="s">
        <v>2759</v>
      </c>
      <c r="F893" s="149" t="s">
        <v>267</v>
      </c>
      <c r="G893" s="149" t="s">
        <v>143</v>
      </c>
      <c r="H893" s="151" t="str">
        <f t="shared" si="66"/>
        <v>1995/10/14</v>
      </c>
      <c r="I893" s="149" t="s">
        <v>290</v>
      </c>
      <c r="J893" s="149" t="s">
        <v>505</v>
      </c>
      <c r="K893" s="101" t="str">
        <f t="shared" si="67"/>
        <v>95</v>
      </c>
      <c r="L893" s="101" t="str">
        <f t="shared" si="68"/>
        <v>10</v>
      </c>
      <c r="M893" s="101" t="str">
        <f t="shared" si="69"/>
        <v>14</v>
      </c>
    </row>
    <row r="894" spans="1:13">
      <c r="A894" t="str">
        <f t="shared" si="65"/>
        <v>環太平洋大学2893男</v>
      </c>
      <c r="B894" s="149" t="s">
        <v>2618</v>
      </c>
      <c r="C894" s="149">
        <v>2893</v>
      </c>
      <c r="D894" s="149" t="s">
        <v>2760</v>
      </c>
      <c r="E894" s="149" t="s">
        <v>2761</v>
      </c>
      <c r="F894" s="149" t="s">
        <v>267</v>
      </c>
      <c r="G894" s="149" t="s">
        <v>143</v>
      </c>
      <c r="H894" s="151" t="str">
        <f t="shared" si="66"/>
        <v>1996/03/18</v>
      </c>
      <c r="I894" s="149" t="s">
        <v>299</v>
      </c>
      <c r="J894" s="149" t="s">
        <v>3816</v>
      </c>
      <c r="K894" s="101" t="str">
        <f t="shared" si="67"/>
        <v>96</v>
      </c>
      <c r="L894" s="101" t="str">
        <f t="shared" si="68"/>
        <v>03</v>
      </c>
      <c r="M894" s="101" t="str">
        <f t="shared" si="69"/>
        <v>18</v>
      </c>
    </row>
    <row r="895" spans="1:13">
      <c r="A895" t="str">
        <f t="shared" si="65"/>
        <v>環太平洋大学2894男</v>
      </c>
      <c r="B895" s="149" t="s">
        <v>2618</v>
      </c>
      <c r="C895" s="149">
        <v>2894</v>
      </c>
      <c r="D895" s="149" t="s">
        <v>2762</v>
      </c>
      <c r="E895" s="149" t="s">
        <v>2763</v>
      </c>
      <c r="F895" s="149" t="s">
        <v>267</v>
      </c>
      <c r="G895" s="149" t="s">
        <v>143</v>
      </c>
      <c r="H895" s="151" t="str">
        <f t="shared" si="66"/>
        <v>1995/08/03</v>
      </c>
      <c r="I895" s="149" t="s">
        <v>281</v>
      </c>
      <c r="J895" s="149" t="s">
        <v>504</v>
      </c>
      <c r="K895" s="101" t="str">
        <f t="shared" si="67"/>
        <v>95</v>
      </c>
      <c r="L895" s="101" t="str">
        <f t="shared" si="68"/>
        <v>08</v>
      </c>
      <c r="M895" s="101" t="str">
        <f t="shared" si="69"/>
        <v>03</v>
      </c>
    </row>
    <row r="896" spans="1:13">
      <c r="A896" t="str">
        <f t="shared" si="65"/>
        <v>環太平洋大学2895男</v>
      </c>
      <c r="B896" s="149" t="s">
        <v>2618</v>
      </c>
      <c r="C896" s="149">
        <v>2895</v>
      </c>
      <c r="D896" s="149" t="s">
        <v>2764</v>
      </c>
      <c r="E896" s="149" t="s">
        <v>2765</v>
      </c>
      <c r="F896" s="149" t="s">
        <v>267</v>
      </c>
      <c r="G896" s="149" t="s">
        <v>143</v>
      </c>
      <c r="H896" s="151" t="str">
        <f t="shared" si="66"/>
        <v>1995/10/26</v>
      </c>
      <c r="I896" s="149" t="s">
        <v>290</v>
      </c>
      <c r="J896" s="149" t="s">
        <v>623</v>
      </c>
      <c r="K896" s="101" t="str">
        <f t="shared" si="67"/>
        <v>95</v>
      </c>
      <c r="L896" s="101" t="str">
        <f t="shared" si="68"/>
        <v>10</v>
      </c>
      <c r="M896" s="101" t="str">
        <f t="shared" si="69"/>
        <v>26</v>
      </c>
    </row>
    <row r="897" spans="1:13">
      <c r="A897" t="str">
        <f t="shared" si="65"/>
        <v>環太平洋大学2896男</v>
      </c>
      <c r="B897" s="149" t="s">
        <v>2618</v>
      </c>
      <c r="C897" s="149">
        <v>2896</v>
      </c>
      <c r="D897" s="149" t="s">
        <v>2766</v>
      </c>
      <c r="E897" s="149" t="s">
        <v>2767</v>
      </c>
      <c r="F897" s="149" t="s">
        <v>267</v>
      </c>
      <c r="G897" s="149" t="s">
        <v>143</v>
      </c>
      <c r="H897" s="151" t="str">
        <f t="shared" si="66"/>
        <v>1995/12/14</v>
      </c>
      <c r="I897" s="149" t="s">
        <v>281</v>
      </c>
      <c r="J897" s="149" t="s">
        <v>898</v>
      </c>
      <c r="K897" s="101" t="str">
        <f t="shared" si="67"/>
        <v>95</v>
      </c>
      <c r="L897" s="101" t="str">
        <f t="shared" si="68"/>
        <v>12</v>
      </c>
      <c r="M897" s="101" t="str">
        <f t="shared" si="69"/>
        <v>14</v>
      </c>
    </row>
    <row r="898" spans="1:13">
      <c r="A898" t="str">
        <f t="shared" ref="A898:A961" si="70">B898&amp;C898&amp;G898</f>
        <v>環太平洋大学2897男</v>
      </c>
      <c r="B898" s="149" t="s">
        <v>2618</v>
      </c>
      <c r="C898" s="149">
        <v>2897</v>
      </c>
      <c r="D898" s="149" t="s">
        <v>2768</v>
      </c>
      <c r="E898" s="149" t="s">
        <v>2769</v>
      </c>
      <c r="F898" s="149" t="s">
        <v>267</v>
      </c>
      <c r="G898" s="149" t="s">
        <v>143</v>
      </c>
      <c r="H898" s="151" t="str">
        <f t="shared" si="66"/>
        <v>1995/08/07</v>
      </c>
      <c r="I898" s="149" t="s">
        <v>277</v>
      </c>
      <c r="J898" s="149" t="s">
        <v>412</v>
      </c>
      <c r="K898" s="101" t="str">
        <f t="shared" si="67"/>
        <v>95</v>
      </c>
      <c r="L898" s="101" t="str">
        <f t="shared" si="68"/>
        <v>08</v>
      </c>
      <c r="M898" s="101" t="str">
        <f t="shared" si="69"/>
        <v>07</v>
      </c>
    </row>
    <row r="899" spans="1:13">
      <c r="A899" t="str">
        <f t="shared" si="70"/>
        <v>環太平洋大学2898男</v>
      </c>
      <c r="B899" s="149" t="s">
        <v>2618</v>
      </c>
      <c r="C899" s="149">
        <v>2898</v>
      </c>
      <c r="D899" s="149" t="s">
        <v>2770</v>
      </c>
      <c r="E899" s="149" t="s">
        <v>2771</v>
      </c>
      <c r="F899" s="149" t="s">
        <v>267</v>
      </c>
      <c r="G899" s="149" t="s">
        <v>143</v>
      </c>
      <c r="H899" s="151" t="str">
        <f t="shared" ref="H899:H962" si="71">"19"&amp;K899&amp;"/"&amp;L899&amp;"/"&amp;M899</f>
        <v>1995/04/02</v>
      </c>
      <c r="I899" s="149" t="s">
        <v>295</v>
      </c>
      <c r="J899" s="149" t="s">
        <v>356</v>
      </c>
      <c r="K899" s="101" t="str">
        <f t="shared" ref="K899:K962" si="72">MID(J899,1,2)</f>
        <v>95</v>
      </c>
      <c r="L899" s="101" t="str">
        <f t="shared" ref="L899:L962" si="73">MID(J899,3,2)</f>
        <v>04</v>
      </c>
      <c r="M899" s="101" t="str">
        <f t="shared" ref="M899:M962" si="74">MID(J899,5,2)</f>
        <v>02</v>
      </c>
    </row>
    <row r="900" spans="1:13">
      <c r="A900" t="str">
        <f t="shared" si="70"/>
        <v>環太平洋大学2899男</v>
      </c>
      <c r="B900" s="149" t="s">
        <v>2618</v>
      </c>
      <c r="C900" s="149">
        <v>2899</v>
      </c>
      <c r="D900" s="149" t="s">
        <v>2772</v>
      </c>
      <c r="E900" s="149" t="s">
        <v>2773</v>
      </c>
      <c r="F900" s="149" t="s">
        <v>267</v>
      </c>
      <c r="G900" s="149" t="s">
        <v>143</v>
      </c>
      <c r="H900" s="151" t="str">
        <f t="shared" si="71"/>
        <v>1995/05/08</v>
      </c>
      <c r="I900" s="149" t="s">
        <v>281</v>
      </c>
      <c r="J900" s="149" t="s">
        <v>385</v>
      </c>
      <c r="K900" s="101" t="str">
        <f t="shared" si="72"/>
        <v>95</v>
      </c>
      <c r="L900" s="101" t="str">
        <f t="shared" si="73"/>
        <v>05</v>
      </c>
      <c r="M900" s="101" t="str">
        <f t="shared" si="74"/>
        <v>08</v>
      </c>
    </row>
    <row r="901" spans="1:13">
      <c r="A901" t="str">
        <f t="shared" si="70"/>
        <v>環太平洋大学2900男</v>
      </c>
      <c r="B901" s="149" t="s">
        <v>2618</v>
      </c>
      <c r="C901" s="149">
        <v>2900</v>
      </c>
      <c r="D901" s="149" t="s">
        <v>2774</v>
      </c>
      <c r="E901" s="149" t="s">
        <v>2775</v>
      </c>
      <c r="F901" s="149" t="s">
        <v>267</v>
      </c>
      <c r="G901" s="149" t="s">
        <v>143</v>
      </c>
      <c r="H901" s="151" t="str">
        <f t="shared" si="71"/>
        <v>1995/08/19</v>
      </c>
      <c r="I901" s="149" t="s">
        <v>295</v>
      </c>
      <c r="J901" s="149" t="s">
        <v>852</v>
      </c>
      <c r="K901" s="101" t="str">
        <f t="shared" si="72"/>
        <v>95</v>
      </c>
      <c r="L901" s="101" t="str">
        <f t="shared" si="73"/>
        <v>08</v>
      </c>
      <c r="M901" s="101" t="str">
        <f t="shared" si="74"/>
        <v>19</v>
      </c>
    </row>
    <row r="902" spans="1:13">
      <c r="A902" t="str">
        <f t="shared" si="70"/>
        <v>環太平洋大学2901男</v>
      </c>
      <c r="B902" s="149" t="s">
        <v>2618</v>
      </c>
      <c r="C902" s="149">
        <v>2901</v>
      </c>
      <c r="D902" s="149" t="s">
        <v>2776</v>
      </c>
      <c r="E902" s="149" t="s">
        <v>2777</v>
      </c>
      <c r="F902" s="149" t="s">
        <v>267</v>
      </c>
      <c r="G902" s="149" t="s">
        <v>143</v>
      </c>
      <c r="H902" s="151" t="str">
        <f t="shared" si="71"/>
        <v>1995/12/20</v>
      </c>
      <c r="I902" s="149" t="s">
        <v>5</v>
      </c>
      <c r="J902" s="149" t="s">
        <v>602</v>
      </c>
      <c r="K902" s="101" t="str">
        <f t="shared" si="72"/>
        <v>95</v>
      </c>
      <c r="L902" s="101" t="str">
        <f t="shared" si="73"/>
        <v>12</v>
      </c>
      <c r="M902" s="101" t="str">
        <f t="shared" si="74"/>
        <v>20</v>
      </c>
    </row>
    <row r="903" spans="1:13">
      <c r="A903" t="str">
        <f t="shared" si="70"/>
        <v>環太平洋大学2902男</v>
      </c>
      <c r="B903" s="149" t="s">
        <v>2618</v>
      </c>
      <c r="C903" s="149">
        <v>2902</v>
      </c>
      <c r="D903" s="149" t="s">
        <v>2778</v>
      </c>
      <c r="E903" s="149" t="s">
        <v>2779</v>
      </c>
      <c r="F903" s="149" t="s">
        <v>267</v>
      </c>
      <c r="G903" s="149" t="s">
        <v>143</v>
      </c>
      <c r="H903" s="151" t="str">
        <f t="shared" si="71"/>
        <v>1995/10/20</v>
      </c>
      <c r="I903" s="149" t="s">
        <v>299</v>
      </c>
      <c r="J903" s="149" t="s">
        <v>3633</v>
      </c>
      <c r="K903" s="101" t="str">
        <f t="shared" si="72"/>
        <v>95</v>
      </c>
      <c r="L903" s="101" t="str">
        <f t="shared" si="73"/>
        <v>10</v>
      </c>
      <c r="M903" s="101" t="str">
        <f t="shared" si="74"/>
        <v>20</v>
      </c>
    </row>
    <row r="904" spans="1:13">
      <c r="A904" t="str">
        <f t="shared" si="70"/>
        <v>環太平洋大学2903男</v>
      </c>
      <c r="B904" s="149" t="s">
        <v>2618</v>
      </c>
      <c r="C904" s="149">
        <v>2903</v>
      </c>
      <c r="D904" s="149" t="s">
        <v>2780</v>
      </c>
      <c r="E904" s="149" t="s">
        <v>2781</v>
      </c>
      <c r="F904" s="149" t="s">
        <v>267</v>
      </c>
      <c r="G904" s="149" t="s">
        <v>143</v>
      </c>
      <c r="H904" s="151" t="str">
        <f t="shared" si="71"/>
        <v>1995/07/21</v>
      </c>
      <c r="I904" s="149" t="s">
        <v>299</v>
      </c>
      <c r="J904" s="149" t="s">
        <v>420</v>
      </c>
      <c r="K904" s="101" t="str">
        <f t="shared" si="72"/>
        <v>95</v>
      </c>
      <c r="L904" s="101" t="str">
        <f t="shared" si="73"/>
        <v>07</v>
      </c>
      <c r="M904" s="101" t="str">
        <f t="shared" si="74"/>
        <v>21</v>
      </c>
    </row>
    <row r="905" spans="1:13">
      <c r="A905" t="str">
        <f t="shared" si="70"/>
        <v>環太平洋大学2904男</v>
      </c>
      <c r="B905" s="149" t="s">
        <v>2618</v>
      </c>
      <c r="C905" s="149">
        <v>2904</v>
      </c>
      <c r="D905" s="149" t="s">
        <v>2782</v>
      </c>
      <c r="E905" s="149" t="s">
        <v>2783</v>
      </c>
      <c r="F905" s="149" t="s">
        <v>267</v>
      </c>
      <c r="G905" s="149" t="s">
        <v>143</v>
      </c>
      <c r="H905" s="151" t="str">
        <f t="shared" si="71"/>
        <v>1995/07/28</v>
      </c>
      <c r="I905" s="149" t="s">
        <v>289</v>
      </c>
      <c r="J905" s="149" t="s">
        <v>452</v>
      </c>
      <c r="K905" s="101" t="str">
        <f t="shared" si="72"/>
        <v>95</v>
      </c>
      <c r="L905" s="101" t="str">
        <f t="shared" si="73"/>
        <v>07</v>
      </c>
      <c r="M905" s="101" t="str">
        <f t="shared" si="74"/>
        <v>28</v>
      </c>
    </row>
    <row r="906" spans="1:13">
      <c r="A906" t="str">
        <f t="shared" si="70"/>
        <v>環太平洋大学2905男</v>
      </c>
      <c r="B906" s="149" t="s">
        <v>2618</v>
      </c>
      <c r="C906" s="149">
        <v>2905</v>
      </c>
      <c r="D906" s="149" t="s">
        <v>2784</v>
      </c>
      <c r="E906" s="149" t="s">
        <v>2785</v>
      </c>
      <c r="F906" s="149" t="s">
        <v>267</v>
      </c>
      <c r="G906" s="149" t="s">
        <v>143</v>
      </c>
      <c r="H906" s="151" t="str">
        <f t="shared" si="71"/>
        <v>1996/02/04</v>
      </c>
      <c r="I906" s="149" t="s">
        <v>301</v>
      </c>
      <c r="J906" s="149" t="s">
        <v>806</v>
      </c>
      <c r="K906" s="101" t="str">
        <f t="shared" si="72"/>
        <v>96</v>
      </c>
      <c r="L906" s="101" t="str">
        <f t="shared" si="73"/>
        <v>02</v>
      </c>
      <c r="M906" s="101" t="str">
        <f t="shared" si="74"/>
        <v>04</v>
      </c>
    </row>
    <row r="907" spans="1:13">
      <c r="A907" t="str">
        <f t="shared" si="70"/>
        <v>環太平洋大学2906男</v>
      </c>
      <c r="B907" s="149" t="s">
        <v>2618</v>
      </c>
      <c r="C907" s="149">
        <v>2906</v>
      </c>
      <c r="D907" s="149" t="s">
        <v>2786</v>
      </c>
      <c r="E907" s="149" t="s">
        <v>2787</v>
      </c>
      <c r="F907" s="149" t="s">
        <v>267</v>
      </c>
      <c r="G907" s="149" t="s">
        <v>143</v>
      </c>
      <c r="H907" s="151" t="str">
        <f t="shared" si="71"/>
        <v>1996/03/19</v>
      </c>
      <c r="I907" s="149" t="s">
        <v>263</v>
      </c>
      <c r="J907" s="149" t="s">
        <v>930</v>
      </c>
      <c r="K907" s="101" t="str">
        <f t="shared" si="72"/>
        <v>96</v>
      </c>
      <c r="L907" s="101" t="str">
        <f t="shared" si="73"/>
        <v>03</v>
      </c>
      <c r="M907" s="101" t="str">
        <f t="shared" si="74"/>
        <v>19</v>
      </c>
    </row>
    <row r="908" spans="1:13">
      <c r="A908" t="str">
        <f t="shared" si="70"/>
        <v>環太平洋大学2907男</v>
      </c>
      <c r="B908" s="149" t="s">
        <v>2618</v>
      </c>
      <c r="C908" s="149">
        <v>2907</v>
      </c>
      <c r="D908" s="149" t="s">
        <v>2788</v>
      </c>
      <c r="E908" s="149" t="s">
        <v>2789</v>
      </c>
      <c r="F908" s="149" t="s">
        <v>267</v>
      </c>
      <c r="G908" s="149" t="s">
        <v>143</v>
      </c>
      <c r="H908" s="151" t="str">
        <f t="shared" si="71"/>
        <v>1996/01/10</v>
      </c>
      <c r="I908" s="149" t="s">
        <v>277</v>
      </c>
      <c r="J908" s="149" t="s">
        <v>423</v>
      </c>
      <c r="K908" s="101" t="str">
        <f t="shared" si="72"/>
        <v>96</v>
      </c>
      <c r="L908" s="101" t="str">
        <f t="shared" si="73"/>
        <v>01</v>
      </c>
      <c r="M908" s="101" t="str">
        <f t="shared" si="74"/>
        <v>10</v>
      </c>
    </row>
    <row r="909" spans="1:13">
      <c r="A909" t="str">
        <f t="shared" si="70"/>
        <v>環太平洋大学2908男</v>
      </c>
      <c r="B909" s="149" t="s">
        <v>2618</v>
      </c>
      <c r="C909" s="149">
        <v>2908</v>
      </c>
      <c r="D909" s="149" t="s">
        <v>2790</v>
      </c>
      <c r="E909" s="149" t="s">
        <v>2791</v>
      </c>
      <c r="F909" s="149" t="s">
        <v>267</v>
      </c>
      <c r="G909" s="149" t="s">
        <v>143</v>
      </c>
      <c r="H909" s="151" t="str">
        <f t="shared" si="71"/>
        <v>1995/05/15</v>
      </c>
      <c r="I909" s="149" t="s">
        <v>277</v>
      </c>
      <c r="J909" s="149" t="s">
        <v>688</v>
      </c>
      <c r="K909" s="101" t="str">
        <f t="shared" si="72"/>
        <v>95</v>
      </c>
      <c r="L909" s="101" t="str">
        <f t="shared" si="73"/>
        <v>05</v>
      </c>
      <c r="M909" s="101" t="str">
        <f t="shared" si="74"/>
        <v>15</v>
      </c>
    </row>
    <row r="910" spans="1:13">
      <c r="A910" t="str">
        <f t="shared" si="70"/>
        <v>環太平洋大学2909男</v>
      </c>
      <c r="B910" s="149" t="s">
        <v>2618</v>
      </c>
      <c r="C910" s="149">
        <v>2909</v>
      </c>
      <c r="D910" s="149" t="s">
        <v>2792</v>
      </c>
      <c r="E910" s="149" t="s">
        <v>2793</v>
      </c>
      <c r="F910" s="149" t="s">
        <v>267</v>
      </c>
      <c r="G910" s="149" t="s">
        <v>143</v>
      </c>
      <c r="H910" s="151" t="str">
        <f t="shared" si="71"/>
        <v>1995/04/19</v>
      </c>
      <c r="I910" s="149" t="s">
        <v>295</v>
      </c>
      <c r="J910" s="149" t="s">
        <v>3672</v>
      </c>
      <c r="K910" s="101" t="str">
        <f t="shared" si="72"/>
        <v>95</v>
      </c>
      <c r="L910" s="101" t="str">
        <f t="shared" si="73"/>
        <v>04</v>
      </c>
      <c r="M910" s="101" t="str">
        <f t="shared" si="74"/>
        <v>19</v>
      </c>
    </row>
    <row r="911" spans="1:13">
      <c r="A911" t="str">
        <f t="shared" si="70"/>
        <v>環太平洋大学2910男</v>
      </c>
      <c r="B911" s="149" t="s">
        <v>2618</v>
      </c>
      <c r="C911" s="149">
        <v>2910</v>
      </c>
      <c r="D911" s="149" t="s">
        <v>2794</v>
      </c>
      <c r="E911" s="149" t="s">
        <v>2795</v>
      </c>
      <c r="F911" s="149" t="s">
        <v>267</v>
      </c>
      <c r="G911" s="149" t="s">
        <v>143</v>
      </c>
      <c r="H911" s="151" t="str">
        <f t="shared" si="71"/>
        <v>1996/02/14</v>
      </c>
      <c r="I911" s="149" t="s">
        <v>287</v>
      </c>
      <c r="J911" s="149" t="s">
        <v>3902</v>
      </c>
      <c r="K911" s="101" t="str">
        <f t="shared" si="72"/>
        <v>96</v>
      </c>
      <c r="L911" s="101" t="str">
        <f t="shared" si="73"/>
        <v>02</v>
      </c>
      <c r="M911" s="101" t="str">
        <f t="shared" si="74"/>
        <v>14</v>
      </c>
    </row>
    <row r="912" spans="1:13">
      <c r="A912" t="str">
        <f t="shared" si="70"/>
        <v>環太平洋大学2911男</v>
      </c>
      <c r="B912" s="149" t="s">
        <v>2618</v>
      </c>
      <c r="C912" s="149">
        <v>2911</v>
      </c>
      <c r="D912" s="149" t="s">
        <v>2796</v>
      </c>
      <c r="E912" s="149" t="s">
        <v>2797</v>
      </c>
      <c r="F912" s="149" t="s">
        <v>267</v>
      </c>
      <c r="G912" s="149" t="s">
        <v>143</v>
      </c>
      <c r="H912" s="151" t="str">
        <f t="shared" si="71"/>
        <v>1995/11/20</v>
      </c>
      <c r="I912" s="149" t="s">
        <v>3631</v>
      </c>
      <c r="J912" s="149" t="s">
        <v>391</v>
      </c>
      <c r="K912" s="101" t="str">
        <f t="shared" si="72"/>
        <v>95</v>
      </c>
      <c r="L912" s="101" t="str">
        <f t="shared" si="73"/>
        <v>11</v>
      </c>
      <c r="M912" s="101" t="str">
        <f t="shared" si="74"/>
        <v>20</v>
      </c>
    </row>
    <row r="913" spans="1:13">
      <c r="A913" t="str">
        <f t="shared" si="70"/>
        <v>環太平洋大学2912男</v>
      </c>
      <c r="B913" s="149" t="s">
        <v>2618</v>
      </c>
      <c r="C913" s="149">
        <v>2912</v>
      </c>
      <c r="D913" s="149" t="s">
        <v>2798</v>
      </c>
      <c r="E913" s="149" t="s">
        <v>2799</v>
      </c>
      <c r="F913" s="149" t="s">
        <v>267</v>
      </c>
      <c r="G913" s="149" t="s">
        <v>143</v>
      </c>
      <c r="H913" s="151" t="str">
        <f t="shared" si="71"/>
        <v>1995/08/30</v>
      </c>
      <c r="I913" s="149" t="s">
        <v>295</v>
      </c>
      <c r="J913" s="149" t="s">
        <v>609</v>
      </c>
      <c r="K913" s="101" t="str">
        <f t="shared" si="72"/>
        <v>95</v>
      </c>
      <c r="L913" s="101" t="str">
        <f t="shared" si="73"/>
        <v>08</v>
      </c>
      <c r="M913" s="101" t="str">
        <f t="shared" si="74"/>
        <v>30</v>
      </c>
    </row>
    <row r="914" spans="1:13">
      <c r="A914" t="str">
        <f t="shared" si="70"/>
        <v>環太平洋大学2913男</v>
      </c>
      <c r="B914" s="149" t="s">
        <v>2618</v>
      </c>
      <c r="C914" s="149">
        <v>2913</v>
      </c>
      <c r="D914" s="149" t="s">
        <v>2800</v>
      </c>
      <c r="E914" s="149" t="s">
        <v>2801</v>
      </c>
      <c r="F914" s="149" t="s">
        <v>267</v>
      </c>
      <c r="G914" s="149" t="s">
        <v>143</v>
      </c>
      <c r="H914" s="151" t="str">
        <f t="shared" si="71"/>
        <v>1995/12/27</v>
      </c>
      <c r="I914" s="149" t="s">
        <v>277</v>
      </c>
      <c r="J914" s="149" t="s">
        <v>622</v>
      </c>
      <c r="K914" s="101" t="str">
        <f t="shared" si="72"/>
        <v>95</v>
      </c>
      <c r="L914" s="101" t="str">
        <f t="shared" si="73"/>
        <v>12</v>
      </c>
      <c r="M914" s="101" t="str">
        <f t="shared" si="74"/>
        <v>27</v>
      </c>
    </row>
    <row r="915" spans="1:13">
      <c r="A915" t="str">
        <f t="shared" si="70"/>
        <v>環太平洋大学2914男</v>
      </c>
      <c r="B915" s="149" t="s">
        <v>2618</v>
      </c>
      <c r="C915" s="149">
        <v>2914</v>
      </c>
      <c r="D915" s="149" t="s">
        <v>2802</v>
      </c>
      <c r="E915" s="149" t="s">
        <v>2803</v>
      </c>
      <c r="F915" s="149" t="s">
        <v>267</v>
      </c>
      <c r="G915" s="149" t="s">
        <v>143</v>
      </c>
      <c r="H915" s="151" t="str">
        <f t="shared" si="71"/>
        <v>1995/05/02</v>
      </c>
      <c r="I915" s="149" t="s">
        <v>304</v>
      </c>
      <c r="J915" s="149" t="s">
        <v>508</v>
      </c>
      <c r="K915" s="101" t="str">
        <f t="shared" si="72"/>
        <v>95</v>
      </c>
      <c r="L915" s="101" t="str">
        <f t="shared" si="73"/>
        <v>05</v>
      </c>
      <c r="M915" s="101" t="str">
        <f t="shared" si="74"/>
        <v>02</v>
      </c>
    </row>
    <row r="916" spans="1:13">
      <c r="A916" t="str">
        <f t="shared" si="70"/>
        <v>環太平洋大学2915男</v>
      </c>
      <c r="B916" s="149" t="s">
        <v>2618</v>
      </c>
      <c r="C916" s="149">
        <v>2915</v>
      </c>
      <c r="D916" s="149" t="s">
        <v>2804</v>
      </c>
      <c r="E916" s="149" t="s">
        <v>2805</v>
      </c>
      <c r="F916" s="149" t="s">
        <v>267</v>
      </c>
      <c r="G916" s="149" t="s">
        <v>143</v>
      </c>
      <c r="H916" s="151" t="str">
        <f t="shared" si="71"/>
        <v>1995/10/30</v>
      </c>
      <c r="I916" s="149" t="s">
        <v>295</v>
      </c>
      <c r="J916" s="149" t="s">
        <v>427</v>
      </c>
      <c r="K916" s="101" t="str">
        <f t="shared" si="72"/>
        <v>95</v>
      </c>
      <c r="L916" s="101" t="str">
        <f t="shared" si="73"/>
        <v>10</v>
      </c>
      <c r="M916" s="101" t="str">
        <f t="shared" si="74"/>
        <v>30</v>
      </c>
    </row>
    <row r="917" spans="1:13">
      <c r="A917" t="str">
        <f t="shared" si="70"/>
        <v>環太平洋大学2916男</v>
      </c>
      <c r="B917" s="149" t="s">
        <v>2618</v>
      </c>
      <c r="C917" s="149">
        <v>2916</v>
      </c>
      <c r="D917" s="149" t="s">
        <v>2806</v>
      </c>
      <c r="E917" s="149" t="s">
        <v>2807</v>
      </c>
      <c r="F917" s="149" t="s">
        <v>267</v>
      </c>
      <c r="G917" s="149" t="s">
        <v>143</v>
      </c>
      <c r="H917" s="151" t="str">
        <f t="shared" si="71"/>
        <v>1995/07/06</v>
      </c>
      <c r="I917" s="149" t="s">
        <v>301</v>
      </c>
      <c r="J917" s="149" t="s">
        <v>793</v>
      </c>
      <c r="K917" s="101" t="str">
        <f t="shared" si="72"/>
        <v>95</v>
      </c>
      <c r="L917" s="101" t="str">
        <f t="shared" si="73"/>
        <v>07</v>
      </c>
      <c r="M917" s="101" t="str">
        <f t="shared" si="74"/>
        <v>06</v>
      </c>
    </row>
    <row r="918" spans="1:13">
      <c r="A918" t="str">
        <f t="shared" si="70"/>
        <v>環太平洋大学2917男</v>
      </c>
      <c r="B918" s="149" t="s">
        <v>2618</v>
      </c>
      <c r="C918" s="149">
        <v>2917</v>
      </c>
      <c r="D918" s="149" t="s">
        <v>2808</v>
      </c>
      <c r="E918" s="149" t="s">
        <v>2809</v>
      </c>
      <c r="F918" s="149" t="s">
        <v>267</v>
      </c>
      <c r="G918" s="149" t="s">
        <v>143</v>
      </c>
      <c r="H918" s="151" t="str">
        <f t="shared" si="71"/>
        <v>1995/04/12</v>
      </c>
      <c r="I918" s="149" t="s">
        <v>295</v>
      </c>
      <c r="J918" s="149" t="s">
        <v>3903</v>
      </c>
      <c r="K918" s="101" t="str">
        <f t="shared" si="72"/>
        <v>95</v>
      </c>
      <c r="L918" s="101" t="str">
        <f t="shared" si="73"/>
        <v>04</v>
      </c>
      <c r="M918" s="101" t="str">
        <f t="shared" si="74"/>
        <v>12</v>
      </c>
    </row>
    <row r="919" spans="1:13">
      <c r="A919" t="str">
        <f t="shared" si="70"/>
        <v>環太平洋大学2918男</v>
      </c>
      <c r="B919" s="149" t="s">
        <v>2618</v>
      </c>
      <c r="C919" s="149">
        <v>2918</v>
      </c>
      <c r="D919" s="149" t="s">
        <v>2810</v>
      </c>
      <c r="E919" s="149" t="s">
        <v>2811</v>
      </c>
      <c r="F919" s="149" t="s">
        <v>267</v>
      </c>
      <c r="G919" s="149" t="s">
        <v>143</v>
      </c>
      <c r="H919" s="151" t="str">
        <f t="shared" si="71"/>
        <v>1996/02/09</v>
      </c>
      <c r="I919" s="149" t="s">
        <v>277</v>
      </c>
      <c r="J919" s="149" t="s">
        <v>3904</v>
      </c>
      <c r="K919" s="101" t="str">
        <f t="shared" si="72"/>
        <v>96</v>
      </c>
      <c r="L919" s="101" t="str">
        <f t="shared" si="73"/>
        <v>02</v>
      </c>
      <c r="M919" s="101" t="str">
        <f t="shared" si="74"/>
        <v>09</v>
      </c>
    </row>
    <row r="920" spans="1:13">
      <c r="A920" t="str">
        <f t="shared" si="70"/>
        <v>環太平洋大学2919男</v>
      </c>
      <c r="B920" s="149" t="s">
        <v>2618</v>
      </c>
      <c r="C920" s="149">
        <v>2919</v>
      </c>
      <c r="D920" s="149" t="s">
        <v>2812</v>
      </c>
      <c r="E920" s="149" t="s">
        <v>2813</v>
      </c>
      <c r="F920" s="149" t="s">
        <v>267</v>
      </c>
      <c r="G920" s="149" t="s">
        <v>143</v>
      </c>
      <c r="H920" s="151" t="str">
        <f t="shared" si="71"/>
        <v>1995/06/30</v>
      </c>
      <c r="I920" s="149" t="s">
        <v>269</v>
      </c>
      <c r="J920" s="149" t="s">
        <v>495</v>
      </c>
      <c r="K920" s="101" t="str">
        <f t="shared" si="72"/>
        <v>95</v>
      </c>
      <c r="L920" s="101" t="str">
        <f t="shared" si="73"/>
        <v>06</v>
      </c>
      <c r="M920" s="101" t="str">
        <f t="shared" si="74"/>
        <v>30</v>
      </c>
    </row>
    <row r="921" spans="1:13">
      <c r="A921" t="str">
        <f t="shared" si="70"/>
        <v>環太平洋大学2920男</v>
      </c>
      <c r="B921" s="149" t="s">
        <v>2618</v>
      </c>
      <c r="C921" s="149">
        <v>2920</v>
      </c>
      <c r="D921" s="149" t="s">
        <v>2814</v>
      </c>
      <c r="E921" s="149" t="s">
        <v>2815</v>
      </c>
      <c r="F921" s="149" t="s">
        <v>267</v>
      </c>
      <c r="G921" s="149" t="s">
        <v>143</v>
      </c>
      <c r="H921" s="151" t="str">
        <f t="shared" si="71"/>
        <v>1995/04/11</v>
      </c>
      <c r="I921" s="149" t="s">
        <v>299</v>
      </c>
      <c r="J921" s="149" t="s">
        <v>382</v>
      </c>
      <c r="K921" s="101" t="str">
        <f t="shared" si="72"/>
        <v>95</v>
      </c>
      <c r="L921" s="101" t="str">
        <f t="shared" si="73"/>
        <v>04</v>
      </c>
      <c r="M921" s="101" t="str">
        <f t="shared" si="74"/>
        <v>11</v>
      </c>
    </row>
    <row r="922" spans="1:13">
      <c r="A922" t="str">
        <f t="shared" si="70"/>
        <v>環太平洋大学2921男</v>
      </c>
      <c r="B922" s="149" t="s">
        <v>2618</v>
      </c>
      <c r="C922" s="149">
        <v>2921</v>
      </c>
      <c r="D922" s="149" t="s">
        <v>2816</v>
      </c>
      <c r="E922" s="149" t="s">
        <v>2817</v>
      </c>
      <c r="F922" s="149" t="s">
        <v>267</v>
      </c>
      <c r="G922" s="149" t="s">
        <v>143</v>
      </c>
      <c r="H922" s="151" t="str">
        <f t="shared" si="71"/>
        <v>1995/10/12</v>
      </c>
      <c r="I922" s="149" t="s">
        <v>299</v>
      </c>
      <c r="J922" s="149" t="s">
        <v>3905</v>
      </c>
      <c r="K922" s="101" t="str">
        <f t="shared" si="72"/>
        <v>95</v>
      </c>
      <c r="L922" s="101" t="str">
        <f t="shared" si="73"/>
        <v>10</v>
      </c>
      <c r="M922" s="101" t="str">
        <f t="shared" si="74"/>
        <v>12</v>
      </c>
    </row>
    <row r="923" spans="1:13">
      <c r="A923" t="str">
        <f t="shared" si="70"/>
        <v>環太平洋大学2922男</v>
      </c>
      <c r="B923" s="149" t="s">
        <v>2618</v>
      </c>
      <c r="C923" s="149">
        <v>2922</v>
      </c>
      <c r="D923" s="149" t="s">
        <v>2818</v>
      </c>
      <c r="E923" s="149" t="s">
        <v>2819</v>
      </c>
      <c r="F923" s="149" t="s">
        <v>267</v>
      </c>
      <c r="G923" s="149" t="s">
        <v>143</v>
      </c>
      <c r="H923" s="151" t="str">
        <f t="shared" si="71"/>
        <v>1996/02/10</v>
      </c>
      <c r="I923" s="149" t="s">
        <v>299</v>
      </c>
      <c r="J923" s="149" t="s">
        <v>631</v>
      </c>
      <c r="K923" s="101" t="str">
        <f t="shared" si="72"/>
        <v>96</v>
      </c>
      <c r="L923" s="101" t="str">
        <f t="shared" si="73"/>
        <v>02</v>
      </c>
      <c r="M923" s="101" t="str">
        <f t="shared" si="74"/>
        <v>10</v>
      </c>
    </row>
    <row r="924" spans="1:13">
      <c r="A924" t="str">
        <f t="shared" si="70"/>
        <v>環太平洋大学2923男</v>
      </c>
      <c r="B924" s="149" t="s">
        <v>2618</v>
      </c>
      <c r="C924" s="149">
        <v>2923</v>
      </c>
      <c r="D924" s="149" t="s">
        <v>2378</v>
      </c>
      <c r="E924" s="149" t="s">
        <v>2820</v>
      </c>
      <c r="F924" s="149" t="s">
        <v>267</v>
      </c>
      <c r="G924" s="149" t="s">
        <v>143</v>
      </c>
      <c r="H924" s="151" t="str">
        <f t="shared" si="71"/>
        <v>1995/08/31</v>
      </c>
      <c r="I924" s="149" t="s">
        <v>263</v>
      </c>
      <c r="J924" s="149" t="s">
        <v>610</v>
      </c>
      <c r="K924" s="101" t="str">
        <f t="shared" si="72"/>
        <v>95</v>
      </c>
      <c r="L924" s="101" t="str">
        <f t="shared" si="73"/>
        <v>08</v>
      </c>
      <c r="M924" s="101" t="str">
        <f t="shared" si="74"/>
        <v>31</v>
      </c>
    </row>
    <row r="925" spans="1:13">
      <c r="A925" t="str">
        <f t="shared" si="70"/>
        <v>環太平洋大学2924男</v>
      </c>
      <c r="B925" s="149" t="s">
        <v>2618</v>
      </c>
      <c r="C925" s="149">
        <v>2924</v>
      </c>
      <c r="D925" s="149" t="s">
        <v>2821</v>
      </c>
      <c r="E925" s="149" t="s">
        <v>2822</v>
      </c>
      <c r="F925" s="149" t="s">
        <v>267</v>
      </c>
      <c r="G925" s="149" t="s">
        <v>143</v>
      </c>
      <c r="H925" s="151" t="str">
        <f t="shared" si="71"/>
        <v>1995/08/21</v>
      </c>
      <c r="I925" s="149" t="s">
        <v>299</v>
      </c>
      <c r="J925" s="149" t="s">
        <v>496</v>
      </c>
      <c r="K925" s="101" t="str">
        <f t="shared" si="72"/>
        <v>95</v>
      </c>
      <c r="L925" s="101" t="str">
        <f t="shared" si="73"/>
        <v>08</v>
      </c>
      <c r="M925" s="101" t="str">
        <f t="shared" si="74"/>
        <v>21</v>
      </c>
    </row>
    <row r="926" spans="1:13">
      <c r="A926" t="str">
        <f t="shared" si="70"/>
        <v>環太平洋大学2925男</v>
      </c>
      <c r="B926" s="149" t="s">
        <v>2618</v>
      </c>
      <c r="C926" s="149">
        <v>2925</v>
      </c>
      <c r="D926" s="149" t="s">
        <v>2823</v>
      </c>
      <c r="E926" s="149" t="s">
        <v>2824</v>
      </c>
      <c r="F926" s="149" t="s">
        <v>267</v>
      </c>
      <c r="G926" s="149" t="s">
        <v>143</v>
      </c>
      <c r="H926" s="151" t="str">
        <f t="shared" si="71"/>
        <v>1995/08/11</v>
      </c>
      <c r="I926" s="149" t="s">
        <v>295</v>
      </c>
      <c r="J926" s="149" t="s">
        <v>737</v>
      </c>
      <c r="K926" s="101" t="str">
        <f t="shared" si="72"/>
        <v>95</v>
      </c>
      <c r="L926" s="101" t="str">
        <f t="shared" si="73"/>
        <v>08</v>
      </c>
      <c r="M926" s="101" t="str">
        <f t="shared" si="74"/>
        <v>11</v>
      </c>
    </row>
    <row r="927" spans="1:13">
      <c r="A927" t="str">
        <f t="shared" si="70"/>
        <v>環太平洋大学2926男</v>
      </c>
      <c r="B927" s="149" t="s">
        <v>2618</v>
      </c>
      <c r="C927" s="149">
        <v>2926</v>
      </c>
      <c r="D927" s="149" t="s">
        <v>2825</v>
      </c>
      <c r="E927" s="149" t="s">
        <v>2826</v>
      </c>
      <c r="F927" s="149" t="s">
        <v>267</v>
      </c>
      <c r="G927" s="149" t="s">
        <v>143</v>
      </c>
      <c r="H927" s="151" t="str">
        <f t="shared" si="71"/>
        <v>1995/08/22</v>
      </c>
      <c r="I927" s="149" t="s">
        <v>295</v>
      </c>
      <c r="J927" s="149" t="s">
        <v>498</v>
      </c>
      <c r="K927" s="101" t="str">
        <f t="shared" si="72"/>
        <v>95</v>
      </c>
      <c r="L927" s="101" t="str">
        <f t="shared" si="73"/>
        <v>08</v>
      </c>
      <c r="M927" s="101" t="str">
        <f t="shared" si="74"/>
        <v>22</v>
      </c>
    </row>
    <row r="928" spans="1:13">
      <c r="A928" t="str">
        <f t="shared" si="70"/>
        <v>環太平洋大学2927男</v>
      </c>
      <c r="B928" s="149" t="s">
        <v>2618</v>
      </c>
      <c r="C928" s="149">
        <v>2927</v>
      </c>
      <c r="D928" s="149" t="s">
        <v>2827</v>
      </c>
      <c r="E928" s="149" t="s">
        <v>2828</v>
      </c>
      <c r="F928" s="149" t="s">
        <v>267</v>
      </c>
      <c r="G928" s="149" t="s">
        <v>143</v>
      </c>
      <c r="H928" s="151" t="str">
        <f t="shared" si="71"/>
        <v>1995/04/30</v>
      </c>
      <c r="I928" s="149" t="s">
        <v>295</v>
      </c>
      <c r="J928" s="149" t="s">
        <v>410</v>
      </c>
      <c r="K928" s="101" t="str">
        <f t="shared" si="72"/>
        <v>95</v>
      </c>
      <c r="L928" s="101" t="str">
        <f t="shared" si="73"/>
        <v>04</v>
      </c>
      <c r="M928" s="101" t="str">
        <f t="shared" si="74"/>
        <v>30</v>
      </c>
    </row>
    <row r="929" spans="1:13">
      <c r="A929" t="str">
        <f t="shared" si="70"/>
        <v>環太平洋大学2928男</v>
      </c>
      <c r="B929" s="149" t="s">
        <v>2618</v>
      </c>
      <c r="C929" s="149">
        <v>2928</v>
      </c>
      <c r="D929" s="149" t="s">
        <v>2829</v>
      </c>
      <c r="E929" s="149" t="s">
        <v>2830</v>
      </c>
      <c r="F929" s="149" t="s">
        <v>267</v>
      </c>
      <c r="G929" s="149" t="s">
        <v>143</v>
      </c>
      <c r="H929" s="151" t="str">
        <f t="shared" si="71"/>
        <v>1995/08/04</v>
      </c>
      <c r="I929" s="149" t="s">
        <v>288</v>
      </c>
      <c r="J929" s="149">
        <v>950804</v>
      </c>
      <c r="K929" s="101" t="str">
        <f t="shared" si="72"/>
        <v>95</v>
      </c>
      <c r="L929" s="101" t="str">
        <f t="shared" si="73"/>
        <v>08</v>
      </c>
      <c r="M929" s="101" t="str">
        <f t="shared" si="74"/>
        <v>04</v>
      </c>
    </row>
    <row r="930" spans="1:13">
      <c r="A930" t="str">
        <f t="shared" si="70"/>
        <v>環太平洋大学2929男</v>
      </c>
      <c r="B930" s="149" t="s">
        <v>2618</v>
      </c>
      <c r="C930" s="149">
        <v>2929</v>
      </c>
      <c r="D930" s="149" t="s">
        <v>2831</v>
      </c>
      <c r="E930" s="149" t="s">
        <v>2832</v>
      </c>
      <c r="F930" s="149" t="s">
        <v>267</v>
      </c>
      <c r="G930" s="149" t="s">
        <v>143</v>
      </c>
      <c r="H930" s="151" t="str">
        <f t="shared" si="71"/>
        <v>1995/04/28</v>
      </c>
      <c r="I930" s="149" t="s">
        <v>269</v>
      </c>
      <c r="J930" s="149" t="s">
        <v>555</v>
      </c>
      <c r="K930" s="101" t="str">
        <f t="shared" si="72"/>
        <v>95</v>
      </c>
      <c r="L930" s="101" t="str">
        <f t="shared" si="73"/>
        <v>04</v>
      </c>
      <c r="M930" s="101" t="str">
        <f t="shared" si="74"/>
        <v>28</v>
      </c>
    </row>
    <row r="931" spans="1:13">
      <c r="A931" t="str">
        <f t="shared" si="70"/>
        <v>環太平洋大学2930男</v>
      </c>
      <c r="B931" s="149" t="s">
        <v>2618</v>
      </c>
      <c r="C931" s="149">
        <v>2930</v>
      </c>
      <c r="D931" s="149" t="s">
        <v>2833</v>
      </c>
      <c r="E931" s="149" t="s">
        <v>2834</v>
      </c>
      <c r="F931" s="149" t="s">
        <v>267</v>
      </c>
      <c r="G931" s="149" t="s">
        <v>143</v>
      </c>
      <c r="H931" s="151" t="str">
        <f t="shared" si="71"/>
        <v>1995/06/06</v>
      </c>
      <c r="I931" s="149" t="s">
        <v>289</v>
      </c>
      <c r="J931" s="149" t="s">
        <v>782</v>
      </c>
      <c r="K931" s="101" t="str">
        <f t="shared" si="72"/>
        <v>95</v>
      </c>
      <c r="L931" s="101" t="str">
        <f t="shared" si="73"/>
        <v>06</v>
      </c>
      <c r="M931" s="101" t="str">
        <f t="shared" si="74"/>
        <v>06</v>
      </c>
    </row>
    <row r="932" spans="1:13">
      <c r="A932" t="str">
        <f t="shared" si="70"/>
        <v>環太平洋大学2931男</v>
      </c>
      <c r="B932" s="149" t="s">
        <v>2618</v>
      </c>
      <c r="C932" s="149">
        <v>2931</v>
      </c>
      <c r="D932" s="149" t="s">
        <v>2835</v>
      </c>
      <c r="E932" s="149" t="s">
        <v>2836</v>
      </c>
      <c r="F932" s="149" t="s">
        <v>260</v>
      </c>
      <c r="G932" s="149" t="s">
        <v>143</v>
      </c>
      <c r="H932" s="151" t="str">
        <f t="shared" si="71"/>
        <v>1993/09/28</v>
      </c>
      <c r="I932" s="149" t="s">
        <v>295</v>
      </c>
      <c r="J932" s="149" t="s">
        <v>3845</v>
      </c>
      <c r="K932" s="101" t="str">
        <f t="shared" si="72"/>
        <v>93</v>
      </c>
      <c r="L932" s="101" t="str">
        <f t="shared" si="73"/>
        <v>09</v>
      </c>
      <c r="M932" s="101" t="str">
        <f t="shared" si="74"/>
        <v>28</v>
      </c>
    </row>
    <row r="933" spans="1:13">
      <c r="A933" t="str">
        <f t="shared" si="70"/>
        <v>鳥取環境大学2932男</v>
      </c>
      <c r="B933" s="149" t="s">
        <v>2837</v>
      </c>
      <c r="C933" s="149">
        <v>2932</v>
      </c>
      <c r="D933" s="149" t="s">
        <v>2838</v>
      </c>
      <c r="E933" s="149" t="s">
        <v>2839</v>
      </c>
      <c r="F933" s="149" t="s">
        <v>265</v>
      </c>
      <c r="G933" s="149" t="s">
        <v>143</v>
      </c>
      <c r="H933" s="151" t="str">
        <f t="shared" si="71"/>
        <v>1995/01/22</v>
      </c>
      <c r="I933" s="149" t="s">
        <v>302</v>
      </c>
      <c r="J933" s="149" t="s">
        <v>749</v>
      </c>
      <c r="K933" s="101" t="str">
        <f t="shared" si="72"/>
        <v>95</v>
      </c>
      <c r="L933" s="101" t="str">
        <f t="shared" si="73"/>
        <v>01</v>
      </c>
      <c r="M933" s="101" t="str">
        <f t="shared" si="74"/>
        <v>22</v>
      </c>
    </row>
    <row r="934" spans="1:13">
      <c r="A934" t="str">
        <f t="shared" si="70"/>
        <v>松山大学2933男</v>
      </c>
      <c r="B934" s="149" t="s">
        <v>2840</v>
      </c>
      <c r="C934" s="149">
        <v>2933</v>
      </c>
      <c r="D934" s="149" t="s">
        <v>2841</v>
      </c>
      <c r="E934" s="149" t="s">
        <v>2842</v>
      </c>
      <c r="F934" s="149" t="s">
        <v>267</v>
      </c>
      <c r="G934" s="149" t="s">
        <v>143</v>
      </c>
      <c r="H934" s="151" t="str">
        <f t="shared" si="71"/>
        <v>1996/01/20</v>
      </c>
      <c r="I934" s="149" t="s">
        <v>281</v>
      </c>
      <c r="J934" s="149" t="s">
        <v>823</v>
      </c>
      <c r="K934" s="101" t="str">
        <f t="shared" si="72"/>
        <v>96</v>
      </c>
      <c r="L934" s="101" t="str">
        <f t="shared" si="73"/>
        <v>01</v>
      </c>
      <c r="M934" s="101" t="str">
        <f t="shared" si="74"/>
        <v>20</v>
      </c>
    </row>
    <row r="935" spans="1:13">
      <c r="A935" t="str">
        <f t="shared" si="70"/>
        <v>松山大学2934男</v>
      </c>
      <c r="B935" s="149" t="s">
        <v>2840</v>
      </c>
      <c r="C935" s="149">
        <v>2934</v>
      </c>
      <c r="D935" s="149" t="s">
        <v>2843</v>
      </c>
      <c r="E935" s="149" t="s">
        <v>2844</v>
      </c>
      <c r="F935" s="149" t="s">
        <v>267</v>
      </c>
      <c r="G935" s="149" t="s">
        <v>143</v>
      </c>
      <c r="H935" s="151" t="str">
        <f t="shared" si="71"/>
        <v>1995/11/12</v>
      </c>
      <c r="I935" s="149" t="s">
        <v>281</v>
      </c>
      <c r="J935" s="149" t="s">
        <v>3850</v>
      </c>
      <c r="K935" s="101" t="str">
        <f t="shared" si="72"/>
        <v>95</v>
      </c>
      <c r="L935" s="101" t="str">
        <f t="shared" si="73"/>
        <v>11</v>
      </c>
      <c r="M935" s="101" t="str">
        <f t="shared" si="74"/>
        <v>12</v>
      </c>
    </row>
    <row r="936" spans="1:13">
      <c r="A936" t="str">
        <f t="shared" si="70"/>
        <v>松山大学2935男</v>
      </c>
      <c r="B936" s="149" t="s">
        <v>2840</v>
      </c>
      <c r="C936" s="149">
        <v>2935</v>
      </c>
      <c r="D936" s="149" t="s">
        <v>2845</v>
      </c>
      <c r="E936" s="149" t="s">
        <v>2846</v>
      </c>
      <c r="F936" s="149" t="s">
        <v>267</v>
      </c>
      <c r="G936" s="149" t="s">
        <v>143</v>
      </c>
      <c r="H936" s="151" t="str">
        <f t="shared" si="71"/>
        <v>1996/01/17</v>
      </c>
      <c r="I936" s="149" t="s">
        <v>281</v>
      </c>
      <c r="J936" s="149" t="s">
        <v>3671</v>
      </c>
      <c r="K936" s="101" t="str">
        <f t="shared" si="72"/>
        <v>96</v>
      </c>
      <c r="L936" s="101" t="str">
        <f t="shared" si="73"/>
        <v>01</v>
      </c>
      <c r="M936" s="101" t="str">
        <f t="shared" si="74"/>
        <v>17</v>
      </c>
    </row>
    <row r="937" spans="1:13">
      <c r="A937" t="str">
        <f t="shared" si="70"/>
        <v>松山大学2936男</v>
      </c>
      <c r="B937" s="149" t="s">
        <v>2840</v>
      </c>
      <c r="C937" s="149">
        <v>2936</v>
      </c>
      <c r="D937" s="149" t="s">
        <v>2847</v>
      </c>
      <c r="E937" s="149" t="s">
        <v>2848</v>
      </c>
      <c r="F937" s="149" t="s">
        <v>267</v>
      </c>
      <c r="G937" s="149" t="s">
        <v>143</v>
      </c>
      <c r="H937" s="151" t="str">
        <f t="shared" si="71"/>
        <v>1995/07/09</v>
      </c>
      <c r="I937" s="149" t="s">
        <v>281</v>
      </c>
      <c r="J937" s="149" t="s">
        <v>3906</v>
      </c>
      <c r="K937" s="101" t="str">
        <f t="shared" si="72"/>
        <v>95</v>
      </c>
      <c r="L937" s="101" t="str">
        <f t="shared" si="73"/>
        <v>07</v>
      </c>
      <c r="M937" s="101" t="str">
        <f t="shared" si="74"/>
        <v>09</v>
      </c>
    </row>
    <row r="938" spans="1:13">
      <c r="A938" t="str">
        <f t="shared" si="70"/>
        <v>松山大学2937男</v>
      </c>
      <c r="B938" s="149" t="s">
        <v>2840</v>
      </c>
      <c r="C938" s="149">
        <v>2937</v>
      </c>
      <c r="D938" s="149" t="s">
        <v>2849</v>
      </c>
      <c r="E938" s="149" t="s">
        <v>2850</v>
      </c>
      <c r="F938" s="149" t="s">
        <v>267</v>
      </c>
      <c r="G938" s="149" t="s">
        <v>143</v>
      </c>
      <c r="H938" s="151" t="str">
        <f t="shared" si="71"/>
        <v>1995/07/19</v>
      </c>
      <c r="I938" s="149" t="s">
        <v>281</v>
      </c>
      <c r="J938" s="149" t="s">
        <v>692</v>
      </c>
      <c r="K938" s="101" t="str">
        <f t="shared" si="72"/>
        <v>95</v>
      </c>
      <c r="L938" s="101" t="str">
        <f t="shared" si="73"/>
        <v>07</v>
      </c>
      <c r="M938" s="101" t="str">
        <f t="shared" si="74"/>
        <v>19</v>
      </c>
    </row>
    <row r="939" spans="1:13">
      <c r="A939" t="str">
        <f t="shared" si="70"/>
        <v>松山大学2938男</v>
      </c>
      <c r="B939" s="149" t="s">
        <v>2840</v>
      </c>
      <c r="C939" s="149">
        <v>2938</v>
      </c>
      <c r="D939" s="149" t="s">
        <v>2851</v>
      </c>
      <c r="E939" s="149" t="s">
        <v>2852</v>
      </c>
      <c r="F939" s="149" t="s">
        <v>267</v>
      </c>
      <c r="G939" s="149" t="s">
        <v>143</v>
      </c>
      <c r="H939" s="151" t="str">
        <f t="shared" si="71"/>
        <v>1996/01/23</v>
      </c>
      <c r="I939" s="149" t="s">
        <v>281</v>
      </c>
      <c r="J939" s="149" t="s">
        <v>387</v>
      </c>
      <c r="K939" s="101" t="str">
        <f t="shared" si="72"/>
        <v>96</v>
      </c>
      <c r="L939" s="101" t="str">
        <f t="shared" si="73"/>
        <v>01</v>
      </c>
      <c r="M939" s="101" t="str">
        <f t="shared" si="74"/>
        <v>23</v>
      </c>
    </row>
    <row r="940" spans="1:13">
      <c r="A940" t="str">
        <f t="shared" si="70"/>
        <v>松山大学2939男</v>
      </c>
      <c r="B940" s="149" t="s">
        <v>2840</v>
      </c>
      <c r="C940" s="149">
        <v>2939</v>
      </c>
      <c r="D940" s="149" t="s">
        <v>2853</v>
      </c>
      <c r="E940" s="149" t="s">
        <v>2854</v>
      </c>
      <c r="F940" s="149" t="s">
        <v>267</v>
      </c>
      <c r="G940" s="149" t="s">
        <v>143</v>
      </c>
      <c r="H940" s="151" t="str">
        <f t="shared" si="71"/>
        <v>1995/07/11</v>
      </c>
      <c r="I940" s="149" t="s">
        <v>281</v>
      </c>
      <c r="J940" s="149" t="s">
        <v>350</v>
      </c>
      <c r="K940" s="101" t="str">
        <f t="shared" si="72"/>
        <v>95</v>
      </c>
      <c r="L940" s="101" t="str">
        <f t="shared" si="73"/>
        <v>07</v>
      </c>
      <c r="M940" s="101" t="str">
        <f t="shared" si="74"/>
        <v>11</v>
      </c>
    </row>
    <row r="941" spans="1:13">
      <c r="A941" t="str">
        <f t="shared" si="70"/>
        <v>松山大学2940男</v>
      </c>
      <c r="B941" s="149" t="s">
        <v>2840</v>
      </c>
      <c r="C941" s="149">
        <v>2940</v>
      </c>
      <c r="D941" s="149" t="s">
        <v>2855</v>
      </c>
      <c r="E941" s="149" t="s">
        <v>2856</v>
      </c>
      <c r="F941" s="149" t="s">
        <v>267</v>
      </c>
      <c r="G941" s="149" t="s">
        <v>143</v>
      </c>
      <c r="H941" s="151" t="str">
        <f t="shared" si="71"/>
        <v>1995/07/24</v>
      </c>
      <c r="I941" s="149" t="s">
        <v>276</v>
      </c>
      <c r="J941" s="149" t="s">
        <v>3746</v>
      </c>
      <c r="K941" s="101" t="str">
        <f t="shared" si="72"/>
        <v>95</v>
      </c>
      <c r="L941" s="101" t="str">
        <f t="shared" si="73"/>
        <v>07</v>
      </c>
      <c r="M941" s="101" t="str">
        <f t="shared" si="74"/>
        <v>24</v>
      </c>
    </row>
    <row r="942" spans="1:13">
      <c r="A942" t="str">
        <f t="shared" si="70"/>
        <v>松山大学2941男</v>
      </c>
      <c r="B942" s="149" t="s">
        <v>2840</v>
      </c>
      <c r="C942" s="149">
        <v>2941</v>
      </c>
      <c r="D942" s="149" t="s">
        <v>2857</v>
      </c>
      <c r="E942" s="149" t="s">
        <v>2858</v>
      </c>
      <c r="F942" s="149" t="s">
        <v>267</v>
      </c>
      <c r="G942" s="149" t="s">
        <v>143</v>
      </c>
      <c r="H942" s="151" t="str">
        <f t="shared" si="71"/>
        <v>1995/06/22</v>
      </c>
      <c r="I942" s="149" t="s">
        <v>281</v>
      </c>
      <c r="J942" s="149" t="s">
        <v>3907</v>
      </c>
      <c r="K942" s="101" t="str">
        <f t="shared" si="72"/>
        <v>95</v>
      </c>
      <c r="L942" s="101" t="str">
        <f t="shared" si="73"/>
        <v>06</v>
      </c>
      <c r="M942" s="101" t="str">
        <f t="shared" si="74"/>
        <v>22</v>
      </c>
    </row>
    <row r="943" spans="1:13">
      <c r="A943" t="str">
        <f t="shared" si="70"/>
        <v>松山大学2942男</v>
      </c>
      <c r="B943" s="149" t="s">
        <v>2840</v>
      </c>
      <c r="C943" s="149">
        <v>2942</v>
      </c>
      <c r="D943" s="149" t="s">
        <v>2859</v>
      </c>
      <c r="E943" s="149" t="s">
        <v>2860</v>
      </c>
      <c r="F943" s="149" t="s">
        <v>267</v>
      </c>
      <c r="G943" s="149" t="s">
        <v>143</v>
      </c>
      <c r="H943" s="151" t="str">
        <f t="shared" si="71"/>
        <v>1995/04/03</v>
      </c>
      <c r="I943" s="149" t="s">
        <v>281</v>
      </c>
      <c r="J943" s="149" t="s">
        <v>492</v>
      </c>
      <c r="K943" s="101" t="str">
        <f t="shared" si="72"/>
        <v>95</v>
      </c>
      <c r="L943" s="101" t="str">
        <f t="shared" si="73"/>
        <v>04</v>
      </c>
      <c r="M943" s="101" t="str">
        <f t="shared" si="74"/>
        <v>03</v>
      </c>
    </row>
    <row r="944" spans="1:13">
      <c r="A944" t="str">
        <f t="shared" si="70"/>
        <v>松山大学2943男</v>
      </c>
      <c r="B944" s="149" t="s">
        <v>2840</v>
      </c>
      <c r="C944" s="149">
        <v>2943</v>
      </c>
      <c r="D944" s="149" t="s">
        <v>2861</v>
      </c>
      <c r="E944" s="149" t="s">
        <v>2862</v>
      </c>
      <c r="F944" s="149" t="s">
        <v>267</v>
      </c>
      <c r="G944" s="149" t="s">
        <v>143</v>
      </c>
      <c r="H944" s="151" t="str">
        <f t="shared" si="71"/>
        <v>1995/09/01</v>
      </c>
      <c r="I944" s="149" t="s">
        <v>263</v>
      </c>
      <c r="J944" s="149" t="s">
        <v>3680</v>
      </c>
      <c r="K944" s="101" t="str">
        <f t="shared" si="72"/>
        <v>95</v>
      </c>
      <c r="L944" s="101" t="str">
        <f t="shared" si="73"/>
        <v>09</v>
      </c>
      <c r="M944" s="101" t="str">
        <f t="shared" si="74"/>
        <v>01</v>
      </c>
    </row>
    <row r="945" spans="1:13">
      <c r="A945" t="str">
        <f t="shared" si="70"/>
        <v>松山大学2944男</v>
      </c>
      <c r="B945" s="149" t="s">
        <v>2840</v>
      </c>
      <c r="C945" s="149">
        <v>2944</v>
      </c>
      <c r="D945" s="149" t="s">
        <v>2863</v>
      </c>
      <c r="E945" s="149" t="s">
        <v>2864</v>
      </c>
      <c r="F945" s="149" t="s">
        <v>267</v>
      </c>
      <c r="G945" s="149" t="s">
        <v>143</v>
      </c>
      <c r="H945" s="151" t="str">
        <f t="shared" si="71"/>
        <v>1996/02/19</v>
      </c>
      <c r="I945" s="149" t="s">
        <v>281</v>
      </c>
      <c r="J945" s="149" t="s">
        <v>934</v>
      </c>
      <c r="K945" s="101" t="str">
        <f t="shared" si="72"/>
        <v>96</v>
      </c>
      <c r="L945" s="101" t="str">
        <f t="shared" si="73"/>
        <v>02</v>
      </c>
      <c r="M945" s="101" t="str">
        <f t="shared" si="74"/>
        <v>19</v>
      </c>
    </row>
    <row r="946" spans="1:13">
      <c r="A946" t="str">
        <f t="shared" si="70"/>
        <v>松山大学2945男</v>
      </c>
      <c r="B946" s="149" t="s">
        <v>2840</v>
      </c>
      <c r="C946" s="149">
        <v>2945</v>
      </c>
      <c r="D946" s="149" t="s">
        <v>2865</v>
      </c>
      <c r="E946" s="149" t="s">
        <v>2866</v>
      </c>
      <c r="F946" s="149" t="s">
        <v>265</v>
      </c>
      <c r="G946" s="149" t="s">
        <v>143</v>
      </c>
      <c r="H946" s="151" t="str">
        <f t="shared" si="71"/>
        <v>1994/08/14</v>
      </c>
      <c r="I946" s="149" t="s">
        <v>281</v>
      </c>
      <c r="J946" s="149" t="s">
        <v>3908</v>
      </c>
      <c r="K946" s="101" t="str">
        <f t="shared" si="72"/>
        <v>94</v>
      </c>
      <c r="L946" s="101" t="str">
        <f t="shared" si="73"/>
        <v>08</v>
      </c>
      <c r="M946" s="101" t="str">
        <f t="shared" si="74"/>
        <v>14</v>
      </c>
    </row>
    <row r="947" spans="1:13">
      <c r="A947" t="str">
        <f t="shared" si="70"/>
        <v>松山大学2946男</v>
      </c>
      <c r="B947" s="149" t="s">
        <v>2840</v>
      </c>
      <c r="C947" s="149">
        <v>2946</v>
      </c>
      <c r="D947" s="149" t="s">
        <v>2867</v>
      </c>
      <c r="E947" s="149" t="s">
        <v>2868</v>
      </c>
      <c r="F947" s="149" t="s">
        <v>265</v>
      </c>
      <c r="G947" s="149" t="s">
        <v>143</v>
      </c>
      <c r="H947" s="151" t="str">
        <f t="shared" si="71"/>
        <v>1994/07/18</v>
      </c>
      <c r="I947" s="149" t="s">
        <v>289</v>
      </c>
      <c r="J947" s="149" t="s">
        <v>403</v>
      </c>
      <c r="K947" s="101" t="str">
        <f t="shared" si="72"/>
        <v>94</v>
      </c>
      <c r="L947" s="101" t="str">
        <f t="shared" si="73"/>
        <v>07</v>
      </c>
      <c r="M947" s="101" t="str">
        <f t="shared" si="74"/>
        <v>18</v>
      </c>
    </row>
    <row r="948" spans="1:13">
      <c r="A948" t="str">
        <f t="shared" si="70"/>
        <v>松山大学2947男</v>
      </c>
      <c r="B948" s="149" t="s">
        <v>2840</v>
      </c>
      <c r="C948" s="149">
        <v>2947</v>
      </c>
      <c r="D948" s="149" t="s">
        <v>2869</v>
      </c>
      <c r="E948" s="149" t="s">
        <v>2870</v>
      </c>
      <c r="F948" s="149" t="s">
        <v>265</v>
      </c>
      <c r="G948" s="149" t="s">
        <v>143</v>
      </c>
      <c r="H948" s="151" t="str">
        <f t="shared" si="71"/>
        <v>1994/10/16</v>
      </c>
      <c r="I948" s="149" t="s">
        <v>281</v>
      </c>
      <c r="J948" s="149" t="s">
        <v>480</v>
      </c>
      <c r="K948" s="101" t="str">
        <f t="shared" si="72"/>
        <v>94</v>
      </c>
      <c r="L948" s="101" t="str">
        <f t="shared" si="73"/>
        <v>10</v>
      </c>
      <c r="M948" s="101" t="str">
        <f t="shared" si="74"/>
        <v>16</v>
      </c>
    </row>
    <row r="949" spans="1:13">
      <c r="A949" t="str">
        <f t="shared" si="70"/>
        <v>松山大学2948男</v>
      </c>
      <c r="B949" s="149" t="s">
        <v>2840</v>
      </c>
      <c r="C949" s="149">
        <v>2948</v>
      </c>
      <c r="D949" s="149" t="s">
        <v>2871</v>
      </c>
      <c r="E949" s="149" t="s">
        <v>2872</v>
      </c>
      <c r="F949" s="149" t="s">
        <v>265</v>
      </c>
      <c r="G949" s="149" t="s">
        <v>143</v>
      </c>
      <c r="H949" s="151" t="str">
        <f t="shared" si="71"/>
        <v>1994/11/20</v>
      </c>
      <c r="I949" s="149" t="s">
        <v>281</v>
      </c>
      <c r="J949" s="149" t="s">
        <v>3871</v>
      </c>
      <c r="K949" s="101" t="str">
        <f t="shared" si="72"/>
        <v>94</v>
      </c>
      <c r="L949" s="101" t="str">
        <f t="shared" si="73"/>
        <v>11</v>
      </c>
      <c r="M949" s="101" t="str">
        <f t="shared" si="74"/>
        <v>20</v>
      </c>
    </row>
    <row r="950" spans="1:13">
      <c r="A950" t="str">
        <f t="shared" si="70"/>
        <v>松山大学2949男</v>
      </c>
      <c r="B950" s="149" t="s">
        <v>2840</v>
      </c>
      <c r="C950" s="149">
        <v>2949</v>
      </c>
      <c r="D950" s="149" t="s">
        <v>2873</v>
      </c>
      <c r="E950" s="149" t="s">
        <v>2874</v>
      </c>
      <c r="F950" s="149" t="s">
        <v>265</v>
      </c>
      <c r="G950" s="149" t="s">
        <v>143</v>
      </c>
      <c r="H950" s="151" t="str">
        <f t="shared" si="71"/>
        <v>1994/07/07</v>
      </c>
      <c r="I950" s="149" t="s">
        <v>281</v>
      </c>
      <c r="J950" s="149" t="s">
        <v>543</v>
      </c>
      <c r="K950" s="101" t="str">
        <f t="shared" si="72"/>
        <v>94</v>
      </c>
      <c r="L950" s="101" t="str">
        <f t="shared" si="73"/>
        <v>07</v>
      </c>
      <c r="M950" s="101" t="str">
        <f t="shared" si="74"/>
        <v>07</v>
      </c>
    </row>
    <row r="951" spans="1:13">
      <c r="A951" t="str">
        <f t="shared" si="70"/>
        <v>松山大学2950男</v>
      </c>
      <c r="B951" s="149" t="s">
        <v>2840</v>
      </c>
      <c r="C951" s="149">
        <v>2950</v>
      </c>
      <c r="D951" s="149" t="s">
        <v>2875</v>
      </c>
      <c r="E951" s="149" t="s">
        <v>2876</v>
      </c>
      <c r="F951" s="149" t="s">
        <v>265</v>
      </c>
      <c r="G951" s="149" t="s">
        <v>143</v>
      </c>
      <c r="H951" s="151" t="str">
        <f t="shared" si="71"/>
        <v>1994/07/13</v>
      </c>
      <c r="I951" s="149" t="s">
        <v>281</v>
      </c>
      <c r="J951" s="149" t="s">
        <v>513</v>
      </c>
      <c r="K951" s="101" t="str">
        <f t="shared" si="72"/>
        <v>94</v>
      </c>
      <c r="L951" s="101" t="str">
        <f t="shared" si="73"/>
        <v>07</v>
      </c>
      <c r="M951" s="101" t="str">
        <f t="shared" si="74"/>
        <v>13</v>
      </c>
    </row>
    <row r="952" spans="1:13">
      <c r="A952" t="str">
        <f t="shared" si="70"/>
        <v>松山大学2951男</v>
      </c>
      <c r="B952" s="149" t="s">
        <v>2840</v>
      </c>
      <c r="C952" s="149">
        <v>2951</v>
      </c>
      <c r="D952" s="149" t="s">
        <v>2877</v>
      </c>
      <c r="E952" s="149" t="s">
        <v>2878</v>
      </c>
      <c r="F952" s="149" t="s">
        <v>265</v>
      </c>
      <c r="G952" s="149" t="s">
        <v>143</v>
      </c>
      <c r="H952" s="151" t="str">
        <f t="shared" si="71"/>
        <v>1995/02/16</v>
      </c>
      <c r="I952" s="149" t="s">
        <v>281</v>
      </c>
      <c r="J952" s="149" t="s">
        <v>674</v>
      </c>
      <c r="K952" s="101" t="str">
        <f t="shared" si="72"/>
        <v>95</v>
      </c>
      <c r="L952" s="101" t="str">
        <f t="shared" si="73"/>
        <v>02</v>
      </c>
      <c r="M952" s="101" t="str">
        <f t="shared" si="74"/>
        <v>16</v>
      </c>
    </row>
    <row r="953" spans="1:13">
      <c r="A953" t="str">
        <f t="shared" si="70"/>
        <v>松山大学2952男</v>
      </c>
      <c r="B953" s="149" t="s">
        <v>2840</v>
      </c>
      <c r="C953" s="149">
        <v>2952</v>
      </c>
      <c r="D953" s="149" t="s">
        <v>2879</v>
      </c>
      <c r="E953" s="149" t="s">
        <v>2880</v>
      </c>
      <c r="F953" s="149" t="s">
        <v>265</v>
      </c>
      <c r="G953" s="149" t="s">
        <v>143</v>
      </c>
      <c r="H953" s="151" t="str">
        <f t="shared" si="71"/>
        <v>1994/07/22</v>
      </c>
      <c r="I953" s="149" t="s">
        <v>289</v>
      </c>
      <c r="J953" s="149" t="s">
        <v>343</v>
      </c>
      <c r="K953" s="101" t="str">
        <f t="shared" si="72"/>
        <v>94</v>
      </c>
      <c r="L953" s="101" t="str">
        <f t="shared" si="73"/>
        <v>07</v>
      </c>
      <c r="M953" s="101" t="str">
        <f t="shared" si="74"/>
        <v>22</v>
      </c>
    </row>
    <row r="954" spans="1:13">
      <c r="A954" t="str">
        <f t="shared" si="70"/>
        <v>松山大学2953男</v>
      </c>
      <c r="B954" s="149" t="s">
        <v>2840</v>
      </c>
      <c r="C954" s="149">
        <v>2953</v>
      </c>
      <c r="D954" s="149" t="s">
        <v>2881</v>
      </c>
      <c r="E954" s="149" t="s">
        <v>2882</v>
      </c>
      <c r="F954" s="149" t="s">
        <v>265</v>
      </c>
      <c r="G954" s="149" t="s">
        <v>143</v>
      </c>
      <c r="H954" s="151" t="str">
        <f t="shared" si="71"/>
        <v>1994/09/19</v>
      </c>
      <c r="I954" s="149" t="s">
        <v>281</v>
      </c>
      <c r="J954" s="149" t="s">
        <v>418</v>
      </c>
      <c r="K954" s="101" t="str">
        <f t="shared" si="72"/>
        <v>94</v>
      </c>
      <c r="L954" s="101" t="str">
        <f t="shared" si="73"/>
        <v>09</v>
      </c>
      <c r="M954" s="101" t="str">
        <f t="shared" si="74"/>
        <v>19</v>
      </c>
    </row>
    <row r="955" spans="1:13">
      <c r="A955" t="str">
        <f t="shared" si="70"/>
        <v>松山大学2954男</v>
      </c>
      <c r="B955" s="149" t="s">
        <v>2840</v>
      </c>
      <c r="C955" s="149">
        <v>2954</v>
      </c>
      <c r="D955" s="149" t="s">
        <v>2883</v>
      </c>
      <c r="E955" s="149" t="s">
        <v>2884</v>
      </c>
      <c r="F955" s="149" t="s">
        <v>265</v>
      </c>
      <c r="G955" s="149" t="s">
        <v>143</v>
      </c>
      <c r="H955" s="151" t="str">
        <f t="shared" si="71"/>
        <v>1993/05/09</v>
      </c>
      <c r="I955" s="149" t="s">
        <v>281</v>
      </c>
      <c r="J955" s="149" t="s">
        <v>3909</v>
      </c>
      <c r="K955" s="101" t="str">
        <f t="shared" si="72"/>
        <v>93</v>
      </c>
      <c r="L955" s="101" t="str">
        <f t="shared" si="73"/>
        <v>05</v>
      </c>
      <c r="M955" s="101" t="str">
        <f t="shared" si="74"/>
        <v>09</v>
      </c>
    </row>
    <row r="956" spans="1:13">
      <c r="A956" t="str">
        <f t="shared" si="70"/>
        <v>松山大学2955男</v>
      </c>
      <c r="B956" s="149" t="s">
        <v>2840</v>
      </c>
      <c r="C956" s="149">
        <v>2955</v>
      </c>
      <c r="D956" s="149" t="s">
        <v>2885</v>
      </c>
      <c r="E956" s="149" t="s">
        <v>2886</v>
      </c>
      <c r="F956" s="149" t="s">
        <v>265</v>
      </c>
      <c r="G956" s="149" t="s">
        <v>143</v>
      </c>
      <c r="H956" s="151" t="str">
        <f t="shared" si="71"/>
        <v>1994/07/19</v>
      </c>
      <c r="I956" s="149" t="s">
        <v>281</v>
      </c>
      <c r="J956" s="149" t="s">
        <v>589</v>
      </c>
      <c r="K956" s="101" t="str">
        <f t="shared" si="72"/>
        <v>94</v>
      </c>
      <c r="L956" s="101" t="str">
        <f t="shared" si="73"/>
        <v>07</v>
      </c>
      <c r="M956" s="101" t="str">
        <f t="shared" si="74"/>
        <v>19</v>
      </c>
    </row>
    <row r="957" spans="1:13">
      <c r="A957" t="str">
        <f t="shared" si="70"/>
        <v>松山大学2956男</v>
      </c>
      <c r="B957" s="149" t="s">
        <v>2840</v>
      </c>
      <c r="C957" s="149">
        <v>2956</v>
      </c>
      <c r="D957" s="149" t="s">
        <v>2887</v>
      </c>
      <c r="E957" s="149" t="s">
        <v>2888</v>
      </c>
      <c r="F957" s="149" t="s">
        <v>260</v>
      </c>
      <c r="G957" s="149" t="s">
        <v>143</v>
      </c>
      <c r="H957" s="151" t="str">
        <f t="shared" si="71"/>
        <v>1993/08/01</v>
      </c>
      <c r="I957" s="149" t="s">
        <v>281</v>
      </c>
      <c r="J957" s="149" t="s">
        <v>330</v>
      </c>
      <c r="K957" s="101" t="str">
        <f t="shared" si="72"/>
        <v>93</v>
      </c>
      <c r="L957" s="101" t="str">
        <f t="shared" si="73"/>
        <v>08</v>
      </c>
      <c r="M957" s="101" t="str">
        <f t="shared" si="74"/>
        <v>01</v>
      </c>
    </row>
    <row r="958" spans="1:13">
      <c r="A958" t="str">
        <f t="shared" si="70"/>
        <v>松山大学2957男</v>
      </c>
      <c r="B958" s="149" t="s">
        <v>2840</v>
      </c>
      <c r="C958" s="149">
        <v>2957</v>
      </c>
      <c r="D958" s="149" t="s">
        <v>2889</v>
      </c>
      <c r="E958" s="149" t="s">
        <v>2890</v>
      </c>
      <c r="F958" s="149" t="s">
        <v>260</v>
      </c>
      <c r="G958" s="149" t="s">
        <v>143</v>
      </c>
      <c r="H958" s="151" t="str">
        <f t="shared" si="71"/>
        <v>1993/06/03</v>
      </c>
      <c r="I958" s="149" t="s">
        <v>281</v>
      </c>
      <c r="J958" s="149" t="s">
        <v>416</v>
      </c>
      <c r="K958" s="101" t="str">
        <f t="shared" si="72"/>
        <v>93</v>
      </c>
      <c r="L958" s="101" t="str">
        <f t="shared" si="73"/>
        <v>06</v>
      </c>
      <c r="M958" s="101" t="str">
        <f t="shared" si="74"/>
        <v>03</v>
      </c>
    </row>
    <row r="959" spans="1:13">
      <c r="A959" t="str">
        <f t="shared" si="70"/>
        <v>松山大学2958男</v>
      </c>
      <c r="B959" s="149" t="s">
        <v>2840</v>
      </c>
      <c r="C959" s="149">
        <v>2958</v>
      </c>
      <c r="D959" s="149" t="s">
        <v>2891</v>
      </c>
      <c r="E959" s="149" t="s">
        <v>2892</v>
      </c>
      <c r="F959" s="149" t="s">
        <v>260</v>
      </c>
      <c r="G959" s="149" t="s">
        <v>143</v>
      </c>
      <c r="H959" s="151" t="str">
        <f t="shared" si="71"/>
        <v>1994/01/17</v>
      </c>
      <c r="I959" s="149" t="s">
        <v>301</v>
      </c>
      <c r="J959" s="149" t="s">
        <v>887</v>
      </c>
      <c r="K959" s="101" t="str">
        <f t="shared" si="72"/>
        <v>94</v>
      </c>
      <c r="L959" s="101" t="str">
        <f t="shared" si="73"/>
        <v>01</v>
      </c>
      <c r="M959" s="101" t="str">
        <f t="shared" si="74"/>
        <v>17</v>
      </c>
    </row>
    <row r="960" spans="1:13">
      <c r="A960" t="str">
        <f t="shared" si="70"/>
        <v>松山大学2959男</v>
      </c>
      <c r="B960" s="149" t="s">
        <v>2840</v>
      </c>
      <c r="C960" s="149">
        <v>2959</v>
      </c>
      <c r="D960" s="149" t="s">
        <v>2893</v>
      </c>
      <c r="E960" s="149" t="s">
        <v>2894</v>
      </c>
      <c r="F960" s="149" t="s">
        <v>260</v>
      </c>
      <c r="G960" s="149" t="s">
        <v>143</v>
      </c>
      <c r="H960" s="151" t="str">
        <f t="shared" si="71"/>
        <v>1993/05/12</v>
      </c>
      <c r="I960" s="149" t="s">
        <v>281</v>
      </c>
      <c r="J960" s="149" t="s">
        <v>873</v>
      </c>
      <c r="K960" s="101" t="str">
        <f t="shared" si="72"/>
        <v>93</v>
      </c>
      <c r="L960" s="101" t="str">
        <f t="shared" si="73"/>
        <v>05</v>
      </c>
      <c r="M960" s="101" t="str">
        <f t="shared" si="74"/>
        <v>12</v>
      </c>
    </row>
    <row r="961" spans="1:13">
      <c r="A961" t="str">
        <f t="shared" si="70"/>
        <v>松山大学2960男</v>
      </c>
      <c r="B961" s="149" t="s">
        <v>2840</v>
      </c>
      <c r="C961" s="149">
        <v>2960</v>
      </c>
      <c r="D961" s="149" t="s">
        <v>2895</v>
      </c>
      <c r="E961" s="149" t="s">
        <v>2896</v>
      </c>
      <c r="F961" s="149" t="s">
        <v>260</v>
      </c>
      <c r="G961" s="149" t="s">
        <v>143</v>
      </c>
      <c r="H961" s="151" t="str">
        <f t="shared" si="71"/>
        <v>1993/10/06</v>
      </c>
      <c r="I961" s="149" t="s">
        <v>281</v>
      </c>
      <c r="J961" s="149" t="s">
        <v>3726</v>
      </c>
      <c r="K961" s="101" t="str">
        <f t="shared" si="72"/>
        <v>93</v>
      </c>
      <c r="L961" s="101" t="str">
        <f t="shared" si="73"/>
        <v>10</v>
      </c>
      <c r="M961" s="101" t="str">
        <f t="shared" si="74"/>
        <v>06</v>
      </c>
    </row>
    <row r="962" spans="1:13">
      <c r="A962" t="str">
        <f t="shared" ref="A962:A1025" si="75">B962&amp;C962&amp;G962</f>
        <v>松山大学2961男</v>
      </c>
      <c r="B962" s="149" t="s">
        <v>2840</v>
      </c>
      <c r="C962" s="149">
        <v>2961</v>
      </c>
      <c r="D962" s="149" t="s">
        <v>2897</v>
      </c>
      <c r="E962" s="149" t="s">
        <v>2898</v>
      </c>
      <c r="F962" s="149" t="s">
        <v>260</v>
      </c>
      <c r="G962" s="149" t="s">
        <v>143</v>
      </c>
      <c r="H962" s="151" t="str">
        <f t="shared" si="71"/>
        <v>1993/07/15</v>
      </c>
      <c r="I962" s="149" t="s">
        <v>281</v>
      </c>
      <c r="J962" s="149" t="s">
        <v>3687</v>
      </c>
      <c r="K962" s="101" t="str">
        <f t="shared" si="72"/>
        <v>93</v>
      </c>
      <c r="L962" s="101" t="str">
        <f t="shared" si="73"/>
        <v>07</v>
      </c>
      <c r="M962" s="101" t="str">
        <f t="shared" si="74"/>
        <v>15</v>
      </c>
    </row>
    <row r="963" spans="1:13">
      <c r="A963" t="str">
        <f t="shared" si="75"/>
        <v>松山大学2962男</v>
      </c>
      <c r="B963" s="149" t="s">
        <v>2840</v>
      </c>
      <c r="C963" s="149">
        <v>2962</v>
      </c>
      <c r="D963" s="149" t="s">
        <v>2899</v>
      </c>
      <c r="E963" s="149" t="s">
        <v>2900</v>
      </c>
      <c r="F963" s="149" t="s">
        <v>260</v>
      </c>
      <c r="G963" s="149" t="s">
        <v>143</v>
      </c>
      <c r="H963" s="151" t="str">
        <f t="shared" ref="H963:H1026" si="76">"19"&amp;K963&amp;"/"&amp;L963&amp;"/"&amp;M963</f>
        <v>1993/05/20</v>
      </c>
      <c r="I963" s="149" t="s">
        <v>281</v>
      </c>
      <c r="J963" s="149" t="s">
        <v>3910</v>
      </c>
      <c r="K963" s="101" t="str">
        <f t="shared" ref="K963:K1026" si="77">MID(J963,1,2)</f>
        <v>93</v>
      </c>
      <c r="L963" s="101" t="str">
        <f t="shared" ref="L963:L1026" si="78">MID(J963,3,2)</f>
        <v>05</v>
      </c>
      <c r="M963" s="101" t="str">
        <f t="shared" ref="M963:M1026" si="79">MID(J963,5,2)</f>
        <v>20</v>
      </c>
    </row>
    <row r="964" spans="1:13">
      <c r="A964" t="str">
        <f t="shared" si="75"/>
        <v>松山大学2963男</v>
      </c>
      <c r="B964" s="149" t="s">
        <v>2840</v>
      </c>
      <c r="C964" s="149">
        <v>2963</v>
      </c>
      <c r="D964" s="149" t="s">
        <v>314</v>
      </c>
      <c r="E964" s="149" t="s">
        <v>315</v>
      </c>
      <c r="F964" s="149" t="s">
        <v>260</v>
      </c>
      <c r="G964" s="149" t="s">
        <v>143</v>
      </c>
      <c r="H964" s="151" t="str">
        <f t="shared" si="76"/>
        <v>1993/04/02</v>
      </c>
      <c r="I964" s="149" t="s">
        <v>281</v>
      </c>
      <c r="J964" s="149" t="s">
        <v>872</v>
      </c>
      <c r="K964" s="101" t="str">
        <f t="shared" si="77"/>
        <v>93</v>
      </c>
      <c r="L964" s="101" t="str">
        <f t="shared" si="78"/>
        <v>04</v>
      </c>
      <c r="M964" s="101" t="str">
        <f t="shared" si="79"/>
        <v>02</v>
      </c>
    </row>
    <row r="965" spans="1:13">
      <c r="A965" t="str">
        <f t="shared" si="75"/>
        <v>松山大学2964男</v>
      </c>
      <c r="B965" s="149" t="s">
        <v>2840</v>
      </c>
      <c r="C965" s="149">
        <v>2964</v>
      </c>
      <c r="D965" s="149" t="s">
        <v>2901</v>
      </c>
      <c r="E965" s="149" t="s">
        <v>2902</v>
      </c>
      <c r="F965" s="149" t="s">
        <v>260</v>
      </c>
      <c r="G965" s="149" t="s">
        <v>143</v>
      </c>
      <c r="H965" s="151" t="str">
        <f t="shared" si="76"/>
        <v>1994/01/12</v>
      </c>
      <c r="I965" s="149" t="s">
        <v>281</v>
      </c>
      <c r="J965" s="149" t="s">
        <v>3839</v>
      </c>
      <c r="K965" s="101" t="str">
        <f t="shared" si="77"/>
        <v>94</v>
      </c>
      <c r="L965" s="101" t="str">
        <f t="shared" si="78"/>
        <v>01</v>
      </c>
      <c r="M965" s="101" t="str">
        <f t="shared" si="79"/>
        <v>12</v>
      </c>
    </row>
    <row r="966" spans="1:13">
      <c r="A966" t="str">
        <f t="shared" si="75"/>
        <v>徳山工業高等専門学校2965男</v>
      </c>
      <c r="B966" s="149" t="s">
        <v>2903</v>
      </c>
      <c r="C966" s="149">
        <v>2965</v>
      </c>
      <c r="D966" s="149" t="s">
        <v>2904</v>
      </c>
      <c r="E966" s="149" t="s">
        <v>2905</v>
      </c>
      <c r="F966" s="149" t="s">
        <v>293</v>
      </c>
      <c r="G966" s="149" t="s">
        <v>143</v>
      </c>
      <c r="H966" s="151" t="str">
        <f t="shared" si="76"/>
        <v>1995/05/27</v>
      </c>
      <c r="I966" s="149" t="s">
        <v>269</v>
      </c>
      <c r="J966" s="149" t="s">
        <v>358</v>
      </c>
      <c r="K966" s="101" t="str">
        <f t="shared" si="77"/>
        <v>95</v>
      </c>
      <c r="L966" s="101" t="str">
        <f t="shared" si="78"/>
        <v>05</v>
      </c>
      <c r="M966" s="101" t="str">
        <f t="shared" si="79"/>
        <v>27</v>
      </c>
    </row>
    <row r="967" spans="1:13">
      <c r="A967" t="str">
        <f t="shared" si="75"/>
        <v>徳山工業高等専門学校2966男</v>
      </c>
      <c r="B967" s="149" t="s">
        <v>2903</v>
      </c>
      <c r="C967" s="149">
        <v>2966</v>
      </c>
      <c r="D967" s="149" t="s">
        <v>2906</v>
      </c>
      <c r="E967" s="149" t="s">
        <v>2907</v>
      </c>
      <c r="F967" s="149" t="s">
        <v>293</v>
      </c>
      <c r="G967" s="149" t="s">
        <v>143</v>
      </c>
      <c r="H967" s="151" t="str">
        <f t="shared" si="76"/>
        <v>1995/09/12</v>
      </c>
      <c r="I967" s="149" t="s">
        <v>269</v>
      </c>
      <c r="J967" s="149" t="s">
        <v>880</v>
      </c>
      <c r="K967" s="101" t="str">
        <f t="shared" si="77"/>
        <v>95</v>
      </c>
      <c r="L967" s="101" t="str">
        <f t="shared" si="78"/>
        <v>09</v>
      </c>
      <c r="M967" s="101" t="str">
        <f t="shared" si="79"/>
        <v>12</v>
      </c>
    </row>
    <row r="968" spans="1:13">
      <c r="A968" t="str">
        <f t="shared" si="75"/>
        <v>徳山工業高等専門学校2967男</v>
      </c>
      <c r="B968" s="149" t="s">
        <v>2903</v>
      </c>
      <c r="C968" s="149">
        <v>2967</v>
      </c>
      <c r="D968" s="149" t="s">
        <v>2908</v>
      </c>
      <c r="E968" s="149" t="s">
        <v>2909</v>
      </c>
      <c r="F968" s="149" t="s">
        <v>293</v>
      </c>
      <c r="G968" s="149" t="s">
        <v>143</v>
      </c>
      <c r="H968" s="151" t="str">
        <f t="shared" si="76"/>
        <v>1996/01/16</v>
      </c>
      <c r="I968" s="149" t="s">
        <v>269</v>
      </c>
      <c r="J968" s="149" t="s">
        <v>614</v>
      </c>
      <c r="K968" s="101" t="str">
        <f t="shared" si="77"/>
        <v>96</v>
      </c>
      <c r="L968" s="101" t="str">
        <f t="shared" si="78"/>
        <v>01</v>
      </c>
      <c r="M968" s="101" t="str">
        <f t="shared" si="79"/>
        <v>16</v>
      </c>
    </row>
    <row r="969" spans="1:13">
      <c r="A969" t="str">
        <f t="shared" si="75"/>
        <v>徳山工業高等専門学校2968男</v>
      </c>
      <c r="B969" s="149" t="s">
        <v>2903</v>
      </c>
      <c r="C969" s="149">
        <v>2968</v>
      </c>
      <c r="D969" s="149" t="s">
        <v>2910</v>
      </c>
      <c r="E969" s="149" t="s">
        <v>2911</v>
      </c>
      <c r="F969" s="149" t="s">
        <v>293</v>
      </c>
      <c r="G969" s="149" t="s">
        <v>143</v>
      </c>
      <c r="H969" s="151" t="str">
        <f t="shared" si="76"/>
        <v>1995/06/13</v>
      </c>
      <c r="I969" s="149" t="s">
        <v>269</v>
      </c>
      <c r="J969" s="149" t="s">
        <v>621</v>
      </c>
      <c r="K969" s="101" t="str">
        <f t="shared" si="77"/>
        <v>95</v>
      </c>
      <c r="L969" s="101" t="str">
        <f t="shared" si="78"/>
        <v>06</v>
      </c>
      <c r="M969" s="101" t="str">
        <f t="shared" si="79"/>
        <v>13</v>
      </c>
    </row>
    <row r="970" spans="1:13">
      <c r="A970" t="str">
        <f t="shared" si="75"/>
        <v>徳山工業高等専門学校2969男</v>
      </c>
      <c r="B970" s="149" t="s">
        <v>2903</v>
      </c>
      <c r="C970" s="149">
        <v>2969</v>
      </c>
      <c r="D970" s="149" t="s">
        <v>2912</v>
      </c>
      <c r="E970" s="149" t="s">
        <v>2913</v>
      </c>
      <c r="F970" s="149" t="s">
        <v>293</v>
      </c>
      <c r="G970" s="149" t="s">
        <v>143</v>
      </c>
      <c r="H970" s="151" t="str">
        <f t="shared" si="76"/>
        <v>1995/08/07</v>
      </c>
      <c r="I970" s="149" t="s">
        <v>269</v>
      </c>
      <c r="J970" s="149" t="s">
        <v>412</v>
      </c>
      <c r="K970" s="101" t="str">
        <f t="shared" si="77"/>
        <v>95</v>
      </c>
      <c r="L970" s="101" t="str">
        <f t="shared" si="78"/>
        <v>08</v>
      </c>
      <c r="M970" s="101" t="str">
        <f t="shared" si="79"/>
        <v>07</v>
      </c>
    </row>
    <row r="971" spans="1:13">
      <c r="A971" t="str">
        <f t="shared" si="75"/>
        <v>徳山工業高等専門学校2970男</v>
      </c>
      <c r="B971" s="149" t="s">
        <v>2903</v>
      </c>
      <c r="C971" s="149">
        <v>2970</v>
      </c>
      <c r="D971" s="149" t="s">
        <v>2914</v>
      </c>
      <c r="E971" s="149" t="s">
        <v>2915</v>
      </c>
      <c r="F971" s="149" t="s">
        <v>293</v>
      </c>
      <c r="G971" s="149" t="s">
        <v>143</v>
      </c>
      <c r="H971" s="151" t="str">
        <f t="shared" si="76"/>
        <v>1995/09/11</v>
      </c>
      <c r="I971" s="149" t="s">
        <v>269</v>
      </c>
      <c r="J971" s="149" t="s">
        <v>902</v>
      </c>
      <c r="K971" s="101" t="str">
        <f t="shared" si="77"/>
        <v>95</v>
      </c>
      <c r="L971" s="101" t="str">
        <f t="shared" si="78"/>
        <v>09</v>
      </c>
      <c r="M971" s="101" t="str">
        <f t="shared" si="79"/>
        <v>11</v>
      </c>
    </row>
    <row r="972" spans="1:13">
      <c r="A972" t="str">
        <f t="shared" si="75"/>
        <v>徳山工業高等専門学校2971男</v>
      </c>
      <c r="B972" s="149" t="s">
        <v>2903</v>
      </c>
      <c r="C972" s="149">
        <v>2971</v>
      </c>
      <c r="D972" s="149" t="s">
        <v>2916</v>
      </c>
      <c r="E972" s="149" t="s">
        <v>2917</v>
      </c>
      <c r="F972" s="149" t="s">
        <v>293</v>
      </c>
      <c r="G972" s="149" t="s">
        <v>143</v>
      </c>
      <c r="H972" s="151" t="str">
        <f t="shared" si="76"/>
        <v>1995/04/08</v>
      </c>
      <c r="I972" s="149" t="s">
        <v>269</v>
      </c>
      <c r="J972" s="149" t="s">
        <v>381</v>
      </c>
      <c r="K972" s="101" t="str">
        <f t="shared" si="77"/>
        <v>95</v>
      </c>
      <c r="L972" s="101" t="str">
        <f t="shared" si="78"/>
        <v>04</v>
      </c>
      <c r="M972" s="101" t="str">
        <f t="shared" si="79"/>
        <v>08</v>
      </c>
    </row>
    <row r="973" spans="1:13">
      <c r="A973" t="str">
        <f t="shared" si="75"/>
        <v>徳山工業高等専門学校2972男</v>
      </c>
      <c r="B973" s="149" t="s">
        <v>2903</v>
      </c>
      <c r="C973" s="149">
        <v>2972</v>
      </c>
      <c r="D973" s="149" t="s">
        <v>2918</v>
      </c>
      <c r="E973" s="149" t="s">
        <v>2919</v>
      </c>
      <c r="F973" s="149" t="s">
        <v>260</v>
      </c>
      <c r="G973" s="149" t="s">
        <v>143</v>
      </c>
      <c r="H973" s="151" t="str">
        <f t="shared" si="76"/>
        <v>1996/05/16</v>
      </c>
      <c r="I973" s="149" t="s">
        <v>269</v>
      </c>
      <c r="J973" s="149" t="s">
        <v>700</v>
      </c>
      <c r="K973" s="101" t="str">
        <f t="shared" si="77"/>
        <v>96</v>
      </c>
      <c r="L973" s="101" t="str">
        <f t="shared" si="78"/>
        <v>05</v>
      </c>
      <c r="M973" s="101" t="str">
        <f t="shared" si="79"/>
        <v>16</v>
      </c>
    </row>
    <row r="974" spans="1:13">
      <c r="A974" t="str">
        <f t="shared" si="75"/>
        <v>徳山工業高等専門学校2973男</v>
      </c>
      <c r="B974" s="149" t="s">
        <v>2903</v>
      </c>
      <c r="C974" s="149">
        <v>2973</v>
      </c>
      <c r="D974" s="149" t="s">
        <v>2920</v>
      </c>
      <c r="E974" s="149" t="s">
        <v>2921</v>
      </c>
      <c r="F974" s="149" t="s">
        <v>260</v>
      </c>
      <c r="G974" s="149" t="s">
        <v>143</v>
      </c>
      <c r="H974" s="151" t="str">
        <f t="shared" si="76"/>
        <v>1996/11/25</v>
      </c>
      <c r="I974" s="149" t="s">
        <v>269</v>
      </c>
      <c r="J974" s="149" t="s">
        <v>811</v>
      </c>
      <c r="K974" s="101" t="str">
        <f t="shared" si="77"/>
        <v>96</v>
      </c>
      <c r="L974" s="101" t="str">
        <f t="shared" si="78"/>
        <v>11</v>
      </c>
      <c r="M974" s="101" t="str">
        <f t="shared" si="79"/>
        <v>25</v>
      </c>
    </row>
    <row r="975" spans="1:13">
      <c r="A975" t="str">
        <f t="shared" si="75"/>
        <v>徳山工業高等専門学校2974男</v>
      </c>
      <c r="B975" s="149" t="s">
        <v>2903</v>
      </c>
      <c r="C975" s="149">
        <v>2974</v>
      </c>
      <c r="D975" s="149" t="s">
        <v>2922</v>
      </c>
      <c r="E975" s="149" t="s">
        <v>2923</v>
      </c>
      <c r="F975" s="149" t="s">
        <v>260</v>
      </c>
      <c r="G975" s="149" t="s">
        <v>143</v>
      </c>
      <c r="H975" s="151" t="str">
        <f t="shared" si="76"/>
        <v>1996/10/01</v>
      </c>
      <c r="I975" s="149" t="s">
        <v>269</v>
      </c>
      <c r="J975" s="149" t="s">
        <v>732</v>
      </c>
      <c r="K975" s="101" t="str">
        <f t="shared" si="77"/>
        <v>96</v>
      </c>
      <c r="L975" s="101" t="str">
        <f t="shared" si="78"/>
        <v>10</v>
      </c>
      <c r="M975" s="101" t="str">
        <f t="shared" si="79"/>
        <v>01</v>
      </c>
    </row>
    <row r="976" spans="1:13">
      <c r="A976" t="str">
        <f t="shared" si="75"/>
        <v>徳山工業高等専門学校2975男</v>
      </c>
      <c r="B976" s="149" t="s">
        <v>2903</v>
      </c>
      <c r="C976" s="149">
        <v>2975</v>
      </c>
      <c r="D976" s="149" t="s">
        <v>2924</v>
      </c>
      <c r="E976" s="149" t="s">
        <v>2925</v>
      </c>
      <c r="F976" s="149" t="s">
        <v>260</v>
      </c>
      <c r="G976" s="149" t="s">
        <v>143</v>
      </c>
      <c r="H976" s="151" t="str">
        <f t="shared" si="76"/>
        <v>1996/07/21</v>
      </c>
      <c r="I976" s="149" t="s">
        <v>269</v>
      </c>
      <c r="J976" s="149" t="s">
        <v>724</v>
      </c>
      <c r="K976" s="101" t="str">
        <f t="shared" si="77"/>
        <v>96</v>
      </c>
      <c r="L976" s="101" t="str">
        <f t="shared" si="78"/>
        <v>07</v>
      </c>
      <c r="M976" s="101" t="str">
        <f t="shared" si="79"/>
        <v>21</v>
      </c>
    </row>
    <row r="977" spans="1:13">
      <c r="A977" t="str">
        <f t="shared" si="75"/>
        <v>徳山工業高等専門学校2976男</v>
      </c>
      <c r="B977" s="149" t="s">
        <v>2903</v>
      </c>
      <c r="C977" s="149">
        <v>2976</v>
      </c>
      <c r="D977" s="149" t="s">
        <v>2926</v>
      </c>
      <c r="E977" s="149" t="s">
        <v>2927</v>
      </c>
      <c r="F977" s="149" t="s">
        <v>260</v>
      </c>
      <c r="G977" s="149" t="s">
        <v>143</v>
      </c>
      <c r="H977" s="151" t="str">
        <f t="shared" si="76"/>
        <v>1997/01/13</v>
      </c>
      <c r="I977" s="149" t="s">
        <v>269</v>
      </c>
      <c r="J977" s="149" t="s">
        <v>799</v>
      </c>
      <c r="K977" s="101" t="str">
        <f t="shared" si="77"/>
        <v>97</v>
      </c>
      <c r="L977" s="101" t="str">
        <f t="shared" si="78"/>
        <v>01</v>
      </c>
      <c r="M977" s="101" t="str">
        <f t="shared" si="79"/>
        <v>13</v>
      </c>
    </row>
    <row r="978" spans="1:13">
      <c r="A978" t="str">
        <f t="shared" si="75"/>
        <v>徳山工業高等専門学校2977男</v>
      </c>
      <c r="B978" s="149" t="s">
        <v>2903</v>
      </c>
      <c r="C978" s="149">
        <v>2977</v>
      </c>
      <c r="D978" s="149" t="s">
        <v>2928</v>
      </c>
      <c r="E978" s="149" t="s">
        <v>2929</v>
      </c>
      <c r="F978" s="149" t="s">
        <v>260</v>
      </c>
      <c r="G978" s="149" t="s">
        <v>143</v>
      </c>
      <c r="H978" s="151" t="str">
        <f t="shared" si="76"/>
        <v>1996/08/10</v>
      </c>
      <c r="I978" s="149" t="s">
        <v>269</v>
      </c>
      <c r="J978" s="149" t="s">
        <v>3911</v>
      </c>
      <c r="K978" s="101" t="str">
        <f t="shared" si="77"/>
        <v>96</v>
      </c>
      <c r="L978" s="101" t="str">
        <f t="shared" si="78"/>
        <v>08</v>
      </c>
      <c r="M978" s="101" t="str">
        <f t="shared" si="79"/>
        <v>10</v>
      </c>
    </row>
    <row r="979" spans="1:13">
      <c r="A979" t="str">
        <f t="shared" si="75"/>
        <v>徳山工業高等専門学校2978男</v>
      </c>
      <c r="B979" s="149" t="s">
        <v>2903</v>
      </c>
      <c r="C979" s="149">
        <v>2978</v>
      </c>
      <c r="D979" s="149" t="s">
        <v>2930</v>
      </c>
      <c r="E979" s="149" t="s">
        <v>2931</v>
      </c>
      <c r="F979" s="149" t="s">
        <v>260</v>
      </c>
      <c r="G979" s="149" t="s">
        <v>143</v>
      </c>
      <c r="H979" s="151" t="str">
        <f t="shared" si="76"/>
        <v>1996/08/27</v>
      </c>
      <c r="I979" s="149" t="s">
        <v>269</v>
      </c>
      <c r="J979" s="149" t="s">
        <v>739</v>
      </c>
      <c r="K979" s="101" t="str">
        <f t="shared" si="77"/>
        <v>96</v>
      </c>
      <c r="L979" s="101" t="str">
        <f t="shared" si="78"/>
        <v>08</v>
      </c>
      <c r="M979" s="101" t="str">
        <f t="shared" si="79"/>
        <v>27</v>
      </c>
    </row>
    <row r="980" spans="1:13">
      <c r="A980" t="str">
        <f t="shared" si="75"/>
        <v>徳山工業高等専門学校2979男</v>
      </c>
      <c r="B980" s="149" t="s">
        <v>2903</v>
      </c>
      <c r="C980" s="149">
        <v>2979</v>
      </c>
      <c r="D980" s="149" t="s">
        <v>2932</v>
      </c>
      <c r="E980" s="149" t="s">
        <v>2933</v>
      </c>
      <c r="F980" s="149" t="s">
        <v>260</v>
      </c>
      <c r="G980" s="149" t="s">
        <v>143</v>
      </c>
      <c r="H980" s="151" t="str">
        <f t="shared" si="76"/>
        <v>1997/01/27</v>
      </c>
      <c r="I980" s="149" t="s">
        <v>269</v>
      </c>
      <c r="J980" s="149" t="s">
        <v>820</v>
      </c>
      <c r="K980" s="101" t="str">
        <f t="shared" si="77"/>
        <v>97</v>
      </c>
      <c r="L980" s="101" t="str">
        <f t="shared" si="78"/>
        <v>01</v>
      </c>
      <c r="M980" s="101" t="str">
        <f t="shared" si="79"/>
        <v>27</v>
      </c>
    </row>
    <row r="981" spans="1:13">
      <c r="A981" t="str">
        <f t="shared" si="75"/>
        <v>徳山工業高等専門学校2980男</v>
      </c>
      <c r="B981" s="149" t="s">
        <v>2903</v>
      </c>
      <c r="C981" s="149">
        <v>2980</v>
      </c>
      <c r="D981" s="149" t="s">
        <v>2934</v>
      </c>
      <c r="E981" s="149" t="s">
        <v>2</v>
      </c>
      <c r="F981" s="149" t="s">
        <v>260</v>
      </c>
      <c r="G981" s="149" t="s">
        <v>143</v>
      </c>
      <c r="H981" s="151" t="str">
        <f t="shared" si="76"/>
        <v>1997/01/16</v>
      </c>
      <c r="I981" s="149" t="s">
        <v>269</v>
      </c>
      <c r="J981" s="149" t="s">
        <v>3634</v>
      </c>
      <c r="K981" s="101" t="str">
        <f t="shared" si="77"/>
        <v>97</v>
      </c>
      <c r="L981" s="101" t="str">
        <f t="shared" si="78"/>
        <v>01</v>
      </c>
      <c r="M981" s="101" t="str">
        <f t="shared" si="79"/>
        <v>16</v>
      </c>
    </row>
    <row r="982" spans="1:13">
      <c r="A982" t="str">
        <f t="shared" si="75"/>
        <v>徳山工業高等専門学校2981男</v>
      </c>
      <c r="B982" s="149" t="s">
        <v>2903</v>
      </c>
      <c r="C982" s="149">
        <v>2981</v>
      </c>
      <c r="D982" s="149" t="s">
        <v>2935</v>
      </c>
      <c r="E982" s="149" t="s">
        <v>2936</v>
      </c>
      <c r="F982" s="149" t="s">
        <v>260</v>
      </c>
      <c r="G982" s="149" t="s">
        <v>143</v>
      </c>
      <c r="H982" s="151" t="str">
        <f t="shared" si="76"/>
        <v>1996/12/28</v>
      </c>
      <c r="I982" s="149" t="s">
        <v>269</v>
      </c>
      <c r="J982" s="149" t="s">
        <v>838</v>
      </c>
      <c r="K982" s="101" t="str">
        <f t="shared" si="77"/>
        <v>96</v>
      </c>
      <c r="L982" s="101" t="str">
        <f t="shared" si="78"/>
        <v>12</v>
      </c>
      <c r="M982" s="101" t="str">
        <f t="shared" si="79"/>
        <v>28</v>
      </c>
    </row>
    <row r="983" spans="1:13">
      <c r="A983" t="str">
        <f t="shared" si="75"/>
        <v>徳山工業高等専門学校2982男</v>
      </c>
      <c r="B983" s="149" t="s">
        <v>2903</v>
      </c>
      <c r="C983" s="149">
        <v>2982</v>
      </c>
      <c r="D983" s="149" t="s">
        <v>2937</v>
      </c>
      <c r="E983" s="149" t="s">
        <v>2938</v>
      </c>
      <c r="F983" s="149" t="s">
        <v>260</v>
      </c>
      <c r="G983" s="149" t="s">
        <v>143</v>
      </c>
      <c r="H983" s="151" t="str">
        <f t="shared" si="76"/>
        <v>1996/05/19</v>
      </c>
      <c r="I983" s="149" t="s">
        <v>269</v>
      </c>
      <c r="J983" s="149" t="s">
        <v>943</v>
      </c>
      <c r="K983" s="101" t="str">
        <f t="shared" si="77"/>
        <v>96</v>
      </c>
      <c r="L983" s="101" t="str">
        <f t="shared" si="78"/>
        <v>05</v>
      </c>
      <c r="M983" s="101" t="str">
        <f t="shared" si="79"/>
        <v>19</v>
      </c>
    </row>
    <row r="984" spans="1:13">
      <c r="A984" t="str">
        <f t="shared" si="75"/>
        <v>島根大学2983男</v>
      </c>
      <c r="B984" s="149" t="s">
        <v>1062</v>
      </c>
      <c r="C984" s="149">
        <v>2983</v>
      </c>
      <c r="D984" s="149" t="s">
        <v>2939</v>
      </c>
      <c r="E984" s="149" t="s">
        <v>2940</v>
      </c>
      <c r="F984" s="149" t="s">
        <v>280</v>
      </c>
      <c r="G984" s="149" t="s">
        <v>143</v>
      </c>
      <c r="H984" s="151" t="str">
        <f t="shared" si="76"/>
        <v>1996/09/05</v>
      </c>
      <c r="I984" s="149" t="s">
        <v>301</v>
      </c>
      <c r="J984" s="149" t="s">
        <v>3912</v>
      </c>
      <c r="K984" s="101" t="str">
        <f t="shared" si="77"/>
        <v>96</v>
      </c>
      <c r="L984" s="101" t="str">
        <f t="shared" si="78"/>
        <v>09</v>
      </c>
      <c r="M984" s="101" t="str">
        <f t="shared" si="79"/>
        <v>05</v>
      </c>
    </row>
    <row r="985" spans="1:13">
      <c r="A985" t="str">
        <f t="shared" si="75"/>
        <v>島根大学2984男</v>
      </c>
      <c r="B985" s="149" t="s">
        <v>1062</v>
      </c>
      <c r="C985" s="149">
        <v>2984</v>
      </c>
      <c r="D985" s="149" t="s">
        <v>2941</v>
      </c>
      <c r="E985" s="149" t="s">
        <v>2942</v>
      </c>
      <c r="F985" s="149" t="s">
        <v>280</v>
      </c>
      <c r="G985" s="149" t="s">
        <v>143</v>
      </c>
      <c r="H985" s="151" t="str">
        <f t="shared" si="76"/>
        <v>1997/03/21</v>
      </c>
      <c r="I985" s="149" t="s">
        <v>301</v>
      </c>
      <c r="J985" s="149" t="s">
        <v>938</v>
      </c>
      <c r="K985" s="101" t="str">
        <f t="shared" si="77"/>
        <v>97</v>
      </c>
      <c r="L985" s="101" t="str">
        <f t="shared" si="78"/>
        <v>03</v>
      </c>
      <c r="M985" s="101" t="str">
        <f t="shared" si="79"/>
        <v>21</v>
      </c>
    </row>
    <row r="986" spans="1:13">
      <c r="A986" t="str">
        <f t="shared" si="75"/>
        <v>島根大学2985男</v>
      </c>
      <c r="B986" s="149" t="s">
        <v>1062</v>
      </c>
      <c r="C986" s="149">
        <v>2985</v>
      </c>
      <c r="D986" s="149" t="s">
        <v>2943</v>
      </c>
      <c r="E986" s="149" t="s">
        <v>2944</v>
      </c>
      <c r="F986" s="149" t="s">
        <v>280</v>
      </c>
      <c r="G986" s="149" t="s">
        <v>143</v>
      </c>
      <c r="H986" s="151" t="str">
        <f t="shared" si="76"/>
        <v>1996/11/19</v>
      </c>
      <c r="I986" s="149" t="s">
        <v>301</v>
      </c>
      <c r="J986" s="149" t="s">
        <v>651</v>
      </c>
      <c r="K986" s="101" t="str">
        <f t="shared" si="77"/>
        <v>96</v>
      </c>
      <c r="L986" s="101" t="str">
        <f t="shared" si="78"/>
        <v>11</v>
      </c>
      <c r="M986" s="101" t="str">
        <f t="shared" si="79"/>
        <v>19</v>
      </c>
    </row>
    <row r="987" spans="1:13">
      <c r="A987" t="str">
        <f t="shared" si="75"/>
        <v>島根大学2986男</v>
      </c>
      <c r="B987" s="149" t="s">
        <v>1062</v>
      </c>
      <c r="C987" s="149">
        <v>2986</v>
      </c>
      <c r="D987" s="149" t="s">
        <v>2945</v>
      </c>
      <c r="E987" s="149" t="s">
        <v>2946</v>
      </c>
      <c r="F987" s="149" t="s">
        <v>280</v>
      </c>
      <c r="G987" s="149" t="s">
        <v>143</v>
      </c>
      <c r="H987" s="151" t="str">
        <f t="shared" si="76"/>
        <v>1996/10/25</v>
      </c>
      <c r="I987" s="149" t="s">
        <v>301</v>
      </c>
      <c r="J987" s="149" t="s">
        <v>827</v>
      </c>
      <c r="K987" s="101" t="str">
        <f t="shared" si="77"/>
        <v>96</v>
      </c>
      <c r="L987" s="101" t="str">
        <f t="shared" si="78"/>
        <v>10</v>
      </c>
      <c r="M987" s="101" t="str">
        <f t="shared" si="79"/>
        <v>25</v>
      </c>
    </row>
    <row r="988" spans="1:13">
      <c r="A988" t="str">
        <f t="shared" si="75"/>
        <v>島根大学2987男</v>
      </c>
      <c r="B988" s="149" t="s">
        <v>1062</v>
      </c>
      <c r="C988" s="149">
        <v>2987</v>
      </c>
      <c r="D988" s="149" t="s">
        <v>2947</v>
      </c>
      <c r="E988" s="149" t="s">
        <v>2948</v>
      </c>
      <c r="F988" s="149" t="s">
        <v>280</v>
      </c>
      <c r="G988" s="149" t="s">
        <v>143</v>
      </c>
      <c r="H988" s="151" t="str">
        <f t="shared" si="76"/>
        <v>1997/02/05</v>
      </c>
      <c r="I988" s="149" t="s">
        <v>301</v>
      </c>
      <c r="J988" s="149" t="s">
        <v>747</v>
      </c>
      <c r="K988" s="101" t="str">
        <f t="shared" si="77"/>
        <v>97</v>
      </c>
      <c r="L988" s="101" t="str">
        <f t="shared" si="78"/>
        <v>02</v>
      </c>
      <c r="M988" s="101" t="str">
        <f t="shared" si="79"/>
        <v>05</v>
      </c>
    </row>
    <row r="989" spans="1:13">
      <c r="A989" t="str">
        <f t="shared" si="75"/>
        <v>島根大学2988男</v>
      </c>
      <c r="B989" s="149" t="s">
        <v>1062</v>
      </c>
      <c r="C989" s="149">
        <v>2988</v>
      </c>
      <c r="D989" s="149" t="s">
        <v>2949</v>
      </c>
      <c r="E989" s="149" t="s">
        <v>2950</v>
      </c>
      <c r="F989" s="149" t="s">
        <v>280</v>
      </c>
      <c r="G989" s="149" t="s">
        <v>143</v>
      </c>
      <c r="H989" s="151" t="str">
        <f t="shared" si="76"/>
        <v>1997/01/13</v>
      </c>
      <c r="I989" s="149" t="s">
        <v>301</v>
      </c>
      <c r="J989" s="149" t="s">
        <v>799</v>
      </c>
      <c r="K989" s="101" t="str">
        <f t="shared" si="77"/>
        <v>97</v>
      </c>
      <c r="L989" s="101" t="str">
        <f t="shared" si="78"/>
        <v>01</v>
      </c>
      <c r="M989" s="101" t="str">
        <f t="shared" si="79"/>
        <v>13</v>
      </c>
    </row>
    <row r="990" spans="1:13">
      <c r="A990" t="str">
        <f t="shared" si="75"/>
        <v>高知工科大学2989男</v>
      </c>
      <c r="B990" s="149" t="s">
        <v>2951</v>
      </c>
      <c r="C990" s="149">
        <v>2989</v>
      </c>
      <c r="D990" s="149" t="s">
        <v>2952</v>
      </c>
      <c r="E990" s="149" t="s">
        <v>2953</v>
      </c>
      <c r="F990" s="149" t="s">
        <v>267</v>
      </c>
      <c r="G990" s="149" t="s">
        <v>143</v>
      </c>
      <c r="H990" s="151" t="str">
        <f t="shared" si="76"/>
        <v>1995/05/13</v>
      </c>
      <c r="I990" s="149" t="s">
        <v>263</v>
      </c>
      <c r="J990" s="149" t="s">
        <v>611</v>
      </c>
      <c r="K990" s="101" t="str">
        <f t="shared" si="77"/>
        <v>95</v>
      </c>
      <c r="L990" s="101" t="str">
        <f t="shared" si="78"/>
        <v>05</v>
      </c>
      <c r="M990" s="101" t="str">
        <f t="shared" si="79"/>
        <v>13</v>
      </c>
    </row>
    <row r="991" spans="1:13">
      <c r="A991" t="str">
        <f t="shared" si="75"/>
        <v>高知工科大学2990男</v>
      </c>
      <c r="B991" s="149" t="s">
        <v>2951</v>
      </c>
      <c r="C991" s="149">
        <v>2990</v>
      </c>
      <c r="D991" s="149" t="s">
        <v>2954</v>
      </c>
      <c r="E991" s="149" t="s">
        <v>2955</v>
      </c>
      <c r="F991" s="149" t="s">
        <v>265</v>
      </c>
      <c r="G991" s="149" t="s">
        <v>143</v>
      </c>
      <c r="H991" s="151" t="str">
        <f t="shared" si="76"/>
        <v>1994/05/19</v>
      </c>
      <c r="I991" s="149" t="s">
        <v>263</v>
      </c>
      <c r="J991" s="149">
        <v>940519</v>
      </c>
      <c r="K991" s="101" t="str">
        <f t="shared" si="77"/>
        <v>94</v>
      </c>
      <c r="L991" s="101" t="str">
        <f t="shared" si="78"/>
        <v>05</v>
      </c>
      <c r="M991" s="101" t="str">
        <f t="shared" si="79"/>
        <v>19</v>
      </c>
    </row>
    <row r="992" spans="1:13">
      <c r="A992" t="str">
        <f t="shared" si="75"/>
        <v>高知工科大学2991男</v>
      </c>
      <c r="B992" s="149" t="s">
        <v>2951</v>
      </c>
      <c r="C992" s="149">
        <v>2991</v>
      </c>
      <c r="D992" s="149" t="s">
        <v>2956</v>
      </c>
      <c r="E992" s="149" t="s">
        <v>2957</v>
      </c>
      <c r="F992" s="149" t="s">
        <v>267</v>
      </c>
      <c r="G992" s="149" t="s">
        <v>143</v>
      </c>
      <c r="H992" s="151" t="str">
        <f t="shared" si="76"/>
        <v>1995/05/23</v>
      </c>
      <c r="I992" s="149" t="s">
        <v>263</v>
      </c>
      <c r="J992" s="149">
        <v>950523</v>
      </c>
      <c r="K992" s="101" t="str">
        <f t="shared" si="77"/>
        <v>95</v>
      </c>
      <c r="L992" s="101" t="str">
        <f t="shared" si="78"/>
        <v>05</v>
      </c>
      <c r="M992" s="101" t="str">
        <f t="shared" si="79"/>
        <v>23</v>
      </c>
    </row>
    <row r="993" spans="1:13">
      <c r="A993" t="str">
        <f t="shared" si="75"/>
        <v>高知工科大学2992男</v>
      </c>
      <c r="B993" s="149" t="s">
        <v>2951</v>
      </c>
      <c r="C993" s="149">
        <v>2992</v>
      </c>
      <c r="D993" s="149" t="s">
        <v>2958</v>
      </c>
      <c r="E993" s="149" t="s">
        <v>2959</v>
      </c>
      <c r="F993" s="149" t="s">
        <v>267</v>
      </c>
      <c r="G993" s="149" t="s">
        <v>143</v>
      </c>
      <c r="H993" s="151" t="str">
        <f t="shared" si="76"/>
        <v>1994/09/21</v>
      </c>
      <c r="I993" s="149" t="s">
        <v>263</v>
      </c>
      <c r="J993" s="149">
        <v>940921</v>
      </c>
      <c r="K993" s="101" t="str">
        <f t="shared" si="77"/>
        <v>94</v>
      </c>
      <c r="L993" s="101" t="str">
        <f t="shared" si="78"/>
        <v>09</v>
      </c>
      <c r="M993" s="101" t="str">
        <f t="shared" si="79"/>
        <v>21</v>
      </c>
    </row>
    <row r="994" spans="1:13">
      <c r="A994" t="str">
        <f t="shared" si="75"/>
        <v>高知工科大学2993男</v>
      </c>
      <c r="B994" s="149" t="s">
        <v>2951</v>
      </c>
      <c r="C994" s="149">
        <v>2993</v>
      </c>
      <c r="D994" s="149" t="s">
        <v>2960</v>
      </c>
      <c r="E994" s="149" t="s">
        <v>2961</v>
      </c>
      <c r="F994" s="149" t="s">
        <v>267</v>
      </c>
      <c r="G994" s="149" t="s">
        <v>143</v>
      </c>
      <c r="H994" s="151" t="str">
        <f t="shared" si="76"/>
        <v>1995/11/03</v>
      </c>
      <c r="I994" s="149" t="s">
        <v>263</v>
      </c>
      <c r="J994" s="149">
        <v>951103</v>
      </c>
      <c r="K994" s="101" t="str">
        <f t="shared" si="77"/>
        <v>95</v>
      </c>
      <c r="L994" s="101" t="str">
        <f t="shared" si="78"/>
        <v>11</v>
      </c>
      <c r="M994" s="101" t="str">
        <f t="shared" si="79"/>
        <v>03</v>
      </c>
    </row>
    <row r="995" spans="1:13">
      <c r="A995" t="str">
        <f t="shared" si="75"/>
        <v>高知工科大学2994男</v>
      </c>
      <c r="B995" s="149" t="s">
        <v>2951</v>
      </c>
      <c r="C995" s="149">
        <v>2994</v>
      </c>
      <c r="D995" s="149" t="s">
        <v>2962</v>
      </c>
      <c r="E995" s="149" t="s">
        <v>2963</v>
      </c>
      <c r="F995" s="149" t="s">
        <v>260</v>
      </c>
      <c r="G995" s="149" t="s">
        <v>143</v>
      </c>
      <c r="H995" s="151" t="str">
        <f t="shared" si="76"/>
        <v>1993/09/14</v>
      </c>
      <c r="I995" s="149" t="s">
        <v>263</v>
      </c>
      <c r="J995" s="149" t="s">
        <v>634</v>
      </c>
      <c r="K995" s="101" t="str">
        <f t="shared" si="77"/>
        <v>93</v>
      </c>
      <c r="L995" s="101" t="str">
        <f t="shared" si="78"/>
        <v>09</v>
      </c>
      <c r="M995" s="101" t="str">
        <f t="shared" si="79"/>
        <v>14</v>
      </c>
    </row>
    <row r="996" spans="1:13">
      <c r="A996" t="str">
        <f t="shared" si="75"/>
        <v>山口県立大学2995男</v>
      </c>
      <c r="B996" s="149" t="s">
        <v>2964</v>
      </c>
      <c r="C996" s="149">
        <v>2995</v>
      </c>
      <c r="D996" s="149" t="s">
        <v>2965</v>
      </c>
      <c r="E996" s="149" t="s">
        <v>2966</v>
      </c>
      <c r="F996" s="149" t="s">
        <v>267</v>
      </c>
      <c r="G996" s="149" t="s">
        <v>143</v>
      </c>
      <c r="H996" s="151" t="str">
        <f t="shared" si="76"/>
        <v>1996/02/06</v>
      </c>
      <c r="I996" s="149" t="s">
        <v>269</v>
      </c>
      <c r="J996" s="149" t="s">
        <v>620</v>
      </c>
      <c r="K996" s="101" t="str">
        <f t="shared" si="77"/>
        <v>96</v>
      </c>
      <c r="L996" s="101" t="str">
        <f t="shared" si="78"/>
        <v>02</v>
      </c>
      <c r="M996" s="101" t="str">
        <f t="shared" si="79"/>
        <v>06</v>
      </c>
    </row>
    <row r="997" spans="1:13">
      <c r="A997" t="str">
        <f t="shared" si="75"/>
        <v>岡山大学2996男</v>
      </c>
      <c r="B997" s="149" t="s">
        <v>1963</v>
      </c>
      <c r="C997" s="149">
        <v>2996</v>
      </c>
      <c r="D997" s="149" t="s">
        <v>2967</v>
      </c>
      <c r="E997" s="149" t="s">
        <v>2968</v>
      </c>
      <c r="F997" s="149" t="s">
        <v>280</v>
      </c>
      <c r="G997" s="149" t="s">
        <v>143</v>
      </c>
      <c r="H997" s="151" t="str">
        <f t="shared" si="76"/>
        <v>1996/12/25</v>
      </c>
      <c r="I997" s="149" t="s">
        <v>299</v>
      </c>
      <c r="J997" s="149" t="s">
        <v>530</v>
      </c>
      <c r="K997" s="101" t="str">
        <f t="shared" si="77"/>
        <v>96</v>
      </c>
      <c r="L997" s="101" t="str">
        <f t="shared" si="78"/>
        <v>12</v>
      </c>
      <c r="M997" s="101" t="str">
        <f t="shared" si="79"/>
        <v>25</v>
      </c>
    </row>
    <row r="998" spans="1:13">
      <c r="A998" t="str">
        <f t="shared" si="75"/>
        <v>岡山大学2997男</v>
      </c>
      <c r="B998" s="149" t="s">
        <v>1963</v>
      </c>
      <c r="C998" s="149">
        <v>2997</v>
      </c>
      <c r="D998" s="149" t="s">
        <v>2969</v>
      </c>
      <c r="E998" s="149" t="s">
        <v>2970</v>
      </c>
      <c r="F998" s="149" t="s">
        <v>280</v>
      </c>
      <c r="G998" s="149" t="s">
        <v>143</v>
      </c>
      <c r="H998" s="151" t="str">
        <f t="shared" si="76"/>
        <v>1996/06/12</v>
      </c>
      <c r="I998" s="149" t="s">
        <v>299</v>
      </c>
      <c r="J998" s="149" t="s">
        <v>741</v>
      </c>
      <c r="K998" s="101" t="str">
        <f t="shared" si="77"/>
        <v>96</v>
      </c>
      <c r="L998" s="101" t="str">
        <f t="shared" si="78"/>
        <v>06</v>
      </c>
      <c r="M998" s="101" t="str">
        <f t="shared" si="79"/>
        <v>12</v>
      </c>
    </row>
    <row r="999" spans="1:13">
      <c r="A999" t="str">
        <f t="shared" si="75"/>
        <v>岡山大学2998男</v>
      </c>
      <c r="B999" s="149" t="s">
        <v>1963</v>
      </c>
      <c r="C999" s="149">
        <v>2998</v>
      </c>
      <c r="D999" s="149" t="s">
        <v>2971</v>
      </c>
      <c r="E999" s="149" t="s">
        <v>2972</v>
      </c>
      <c r="F999" s="149" t="s">
        <v>280</v>
      </c>
      <c r="G999" s="149" t="s">
        <v>143</v>
      </c>
      <c r="H999" s="151" t="str">
        <f t="shared" si="76"/>
        <v>1996/10/05</v>
      </c>
      <c r="I999" s="149" t="s">
        <v>299</v>
      </c>
      <c r="J999" s="149" t="s">
        <v>720</v>
      </c>
      <c r="K999" s="101" t="str">
        <f t="shared" si="77"/>
        <v>96</v>
      </c>
      <c r="L999" s="101" t="str">
        <f t="shared" si="78"/>
        <v>10</v>
      </c>
      <c r="M999" s="101" t="str">
        <f t="shared" si="79"/>
        <v>05</v>
      </c>
    </row>
    <row r="1000" spans="1:13">
      <c r="A1000" t="str">
        <f t="shared" si="75"/>
        <v>岡山大学2999男</v>
      </c>
      <c r="B1000" s="149" t="s">
        <v>1963</v>
      </c>
      <c r="C1000" s="149">
        <v>2999</v>
      </c>
      <c r="D1000" s="149" t="s">
        <v>2973</v>
      </c>
      <c r="E1000" s="149" t="s">
        <v>2974</v>
      </c>
      <c r="F1000" s="149" t="s">
        <v>280</v>
      </c>
      <c r="G1000" s="149" t="s">
        <v>143</v>
      </c>
      <c r="H1000" s="151" t="str">
        <f t="shared" si="76"/>
        <v>1997/01/02</v>
      </c>
      <c r="I1000" s="149" t="s">
        <v>261</v>
      </c>
      <c r="J1000" s="149" t="s">
        <v>3913</v>
      </c>
      <c r="K1000" s="101" t="str">
        <f t="shared" si="77"/>
        <v>97</v>
      </c>
      <c r="L1000" s="101" t="str">
        <f t="shared" si="78"/>
        <v>01</v>
      </c>
      <c r="M1000" s="101" t="str">
        <f t="shared" si="79"/>
        <v>02</v>
      </c>
    </row>
    <row r="1001" spans="1:13">
      <c r="A1001" t="str">
        <f t="shared" si="75"/>
        <v>岡山大学3000男</v>
      </c>
      <c r="B1001" s="149" t="s">
        <v>1963</v>
      </c>
      <c r="C1001" s="149">
        <v>3000</v>
      </c>
      <c r="D1001" s="149" t="s">
        <v>2975</v>
      </c>
      <c r="E1001" s="149" t="s">
        <v>2976</v>
      </c>
      <c r="F1001" s="149" t="s">
        <v>280</v>
      </c>
      <c r="G1001" s="149" t="s">
        <v>143</v>
      </c>
      <c r="H1001" s="151" t="str">
        <f t="shared" si="76"/>
        <v>1996/08/27</v>
      </c>
      <c r="I1001" s="149" t="s">
        <v>299</v>
      </c>
      <c r="J1001" s="149" t="s">
        <v>739</v>
      </c>
      <c r="K1001" s="101" t="str">
        <f t="shared" si="77"/>
        <v>96</v>
      </c>
      <c r="L1001" s="101" t="str">
        <f t="shared" si="78"/>
        <v>08</v>
      </c>
      <c r="M1001" s="101" t="str">
        <f t="shared" si="79"/>
        <v>27</v>
      </c>
    </row>
    <row r="1002" spans="1:13">
      <c r="A1002" t="str">
        <f t="shared" si="75"/>
        <v>岡山大学3001男</v>
      </c>
      <c r="B1002" s="149" t="s">
        <v>1963</v>
      </c>
      <c r="C1002" s="149">
        <v>3001</v>
      </c>
      <c r="D1002" s="149" t="s">
        <v>2977</v>
      </c>
      <c r="E1002" s="149" t="s">
        <v>2978</v>
      </c>
      <c r="F1002" s="149" t="s">
        <v>280</v>
      </c>
      <c r="G1002" s="149" t="s">
        <v>143</v>
      </c>
      <c r="H1002" s="151" t="str">
        <f t="shared" si="76"/>
        <v>1996/06/26</v>
      </c>
      <c r="I1002" s="149" t="s">
        <v>299</v>
      </c>
      <c r="J1002" s="149" t="s">
        <v>3914</v>
      </c>
      <c r="K1002" s="101" t="str">
        <f t="shared" si="77"/>
        <v>96</v>
      </c>
      <c r="L1002" s="101" t="str">
        <f t="shared" si="78"/>
        <v>06</v>
      </c>
      <c r="M1002" s="101" t="str">
        <f t="shared" si="79"/>
        <v>26</v>
      </c>
    </row>
    <row r="1003" spans="1:13">
      <c r="A1003" t="str">
        <f t="shared" si="75"/>
        <v>徳山大学3002男</v>
      </c>
      <c r="B1003" s="149" t="s">
        <v>1250</v>
      </c>
      <c r="C1003" s="149">
        <v>3002</v>
      </c>
      <c r="D1003" s="149" t="s">
        <v>2979</v>
      </c>
      <c r="E1003" s="149" t="s">
        <v>2980</v>
      </c>
      <c r="F1003" s="149">
        <v>1</v>
      </c>
      <c r="G1003" s="149" t="s">
        <v>143</v>
      </c>
      <c r="H1003" s="151" t="str">
        <f t="shared" si="76"/>
        <v>1997/03/25</v>
      </c>
      <c r="I1003" s="149" t="s">
        <v>295</v>
      </c>
      <c r="J1003" s="149" t="s">
        <v>814</v>
      </c>
      <c r="K1003" s="101" t="str">
        <f t="shared" si="77"/>
        <v>97</v>
      </c>
      <c r="L1003" s="101" t="str">
        <f t="shared" si="78"/>
        <v>03</v>
      </c>
      <c r="M1003" s="101" t="str">
        <f t="shared" si="79"/>
        <v>25</v>
      </c>
    </row>
    <row r="1004" spans="1:13">
      <c r="A1004" t="str">
        <f t="shared" si="75"/>
        <v>徳山大学3003男</v>
      </c>
      <c r="B1004" s="149" t="s">
        <v>1250</v>
      </c>
      <c r="C1004" s="149">
        <v>3003</v>
      </c>
      <c r="D1004" s="149" t="s">
        <v>2981</v>
      </c>
      <c r="E1004" s="149" t="s">
        <v>2982</v>
      </c>
      <c r="F1004" s="149">
        <v>1</v>
      </c>
      <c r="G1004" s="149" t="s">
        <v>143</v>
      </c>
      <c r="H1004" s="151" t="str">
        <f t="shared" si="76"/>
        <v>1996/06/24</v>
      </c>
      <c r="I1004" s="149" t="s">
        <v>281</v>
      </c>
      <c r="J1004" s="149" t="s">
        <v>705</v>
      </c>
      <c r="K1004" s="101" t="str">
        <f t="shared" si="77"/>
        <v>96</v>
      </c>
      <c r="L1004" s="101" t="str">
        <f t="shared" si="78"/>
        <v>06</v>
      </c>
      <c r="M1004" s="101" t="str">
        <f t="shared" si="79"/>
        <v>24</v>
      </c>
    </row>
    <row r="1005" spans="1:13">
      <c r="A1005" t="str">
        <f t="shared" si="75"/>
        <v>徳山大学3004男</v>
      </c>
      <c r="B1005" s="149" t="s">
        <v>1250</v>
      </c>
      <c r="C1005" s="149">
        <v>3004</v>
      </c>
      <c r="D1005" s="149" t="s">
        <v>2983</v>
      </c>
      <c r="E1005" s="149" t="s">
        <v>2984</v>
      </c>
      <c r="F1005" s="149">
        <v>1</v>
      </c>
      <c r="G1005" s="149" t="s">
        <v>143</v>
      </c>
      <c r="H1005" s="151" t="str">
        <f t="shared" si="76"/>
        <v>1996/11/13</v>
      </c>
      <c r="I1005" s="149" t="s">
        <v>281</v>
      </c>
      <c r="J1005" s="149" t="s">
        <v>3915</v>
      </c>
      <c r="K1005" s="101" t="str">
        <f t="shared" si="77"/>
        <v>96</v>
      </c>
      <c r="L1005" s="101" t="str">
        <f t="shared" si="78"/>
        <v>11</v>
      </c>
      <c r="M1005" s="101" t="str">
        <f t="shared" si="79"/>
        <v>13</v>
      </c>
    </row>
    <row r="1006" spans="1:13">
      <c r="A1006" t="str">
        <f t="shared" si="75"/>
        <v>徳山大学3005男</v>
      </c>
      <c r="B1006" s="149" t="s">
        <v>1250</v>
      </c>
      <c r="C1006" s="149">
        <v>3005</v>
      </c>
      <c r="D1006" s="149" t="s">
        <v>2985</v>
      </c>
      <c r="E1006" s="149" t="s">
        <v>2986</v>
      </c>
      <c r="F1006" s="149">
        <v>1</v>
      </c>
      <c r="G1006" s="149" t="s">
        <v>143</v>
      </c>
      <c r="H1006" s="151" t="str">
        <f t="shared" si="76"/>
        <v>1997/03/12</v>
      </c>
      <c r="I1006" s="149" t="s">
        <v>5</v>
      </c>
      <c r="J1006" s="149" t="s">
        <v>648</v>
      </c>
      <c r="K1006" s="101" t="str">
        <f t="shared" si="77"/>
        <v>97</v>
      </c>
      <c r="L1006" s="101" t="str">
        <f t="shared" si="78"/>
        <v>03</v>
      </c>
      <c r="M1006" s="101" t="str">
        <f t="shared" si="79"/>
        <v>12</v>
      </c>
    </row>
    <row r="1007" spans="1:13">
      <c r="A1007" t="str">
        <f t="shared" si="75"/>
        <v>徳山大学3006男</v>
      </c>
      <c r="B1007" s="149" t="s">
        <v>1250</v>
      </c>
      <c r="C1007" s="149">
        <v>3006</v>
      </c>
      <c r="D1007" s="149" t="s">
        <v>2987</v>
      </c>
      <c r="E1007" s="149" t="s">
        <v>2988</v>
      </c>
      <c r="F1007" s="149">
        <v>1</v>
      </c>
      <c r="G1007" s="149" t="s">
        <v>143</v>
      </c>
      <c r="H1007" s="151" t="str">
        <f t="shared" si="76"/>
        <v>1996/04/05</v>
      </c>
      <c r="I1007" s="149" t="s">
        <v>275</v>
      </c>
      <c r="J1007" s="149" t="s">
        <v>921</v>
      </c>
      <c r="K1007" s="101" t="str">
        <f t="shared" si="77"/>
        <v>96</v>
      </c>
      <c r="L1007" s="101" t="str">
        <f t="shared" si="78"/>
        <v>04</v>
      </c>
      <c r="M1007" s="101" t="str">
        <f t="shared" si="79"/>
        <v>05</v>
      </c>
    </row>
    <row r="1008" spans="1:13">
      <c r="A1008" t="str">
        <f t="shared" si="75"/>
        <v>徳山大学3007男</v>
      </c>
      <c r="B1008" s="149" t="s">
        <v>1250</v>
      </c>
      <c r="C1008" s="149">
        <v>3007</v>
      </c>
      <c r="D1008" s="149" t="s">
        <v>2989</v>
      </c>
      <c r="E1008" s="149" t="s">
        <v>2990</v>
      </c>
      <c r="F1008" s="149">
        <v>1</v>
      </c>
      <c r="G1008" s="149" t="s">
        <v>143</v>
      </c>
      <c r="H1008" s="151" t="str">
        <f t="shared" si="76"/>
        <v>1996/07/14</v>
      </c>
      <c r="I1008" s="149" t="s">
        <v>281</v>
      </c>
      <c r="J1008" s="149" t="s">
        <v>3916</v>
      </c>
      <c r="K1008" s="101" t="str">
        <f t="shared" si="77"/>
        <v>96</v>
      </c>
      <c r="L1008" s="101" t="str">
        <f t="shared" si="78"/>
        <v>07</v>
      </c>
      <c r="M1008" s="101" t="str">
        <f t="shared" si="79"/>
        <v>14</v>
      </c>
    </row>
    <row r="1009" spans="1:13">
      <c r="A1009" t="str">
        <f t="shared" si="75"/>
        <v>東亜大学3008男</v>
      </c>
      <c r="B1009" s="149" t="s">
        <v>2991</v>
      </c>
      <c r="C1009" s="149">
        <v>3008</v>
      </c>
      <c r="D1009" s="149" t="s">
        <v>2992</v>
      </c>
      <c r="E1009" s="149" t="s">
        <v>2993</v>
      </c>
      <c r="F1009" s="149" t="s">
        <v>265</v>
      </c>
      <c r="G1009" s="149" t="s">
        <v>143</v>
      </c>
      <c r="H1009" s="151" t="str">
        <f t="shared" si="76"/>
        <v>1994/12/22</v>
      </c>
      <c r="I1009" s="149" t="s">
        <v>5</v>
      </c>
      <c r="J1009" s="149" t="s">
        <v>3917</v>
      </c>
      <c r="K1009" s="101" t="str">
        <f t="shared" si="77"/>
        <v>94</v>
      </c>
      <c r="L1009" s="101" t="str">
        <f t="shared" si="78"/>
        <v>12</v>
      </c>
      <c r="M1009" s="101" t="str">
        <f t="shared" si="79"/>
        <v>22</v>
      </c>
    </row>
    <row r="1010" spans="1:13">
      <c r="A1010" t="str">
        <f t="shared" si="75"/>
        <v>島根県立大学3009男</v>
      </c>
      <c r="B1010" s="149" t="s">
        <v>2203</v>
      </c>
      <c r="C1010" s="149">
        <v>3009</v>
      </c>
      <c r="D1010" s="149" t="s">
        <v>2994</v>
      </c>
      <c r="E1010" s="149" t="s">
        <v>2995</v>
      </c>
      <c r="F1010" s="149" t="s">
        <v>267</v>
      </c>
      <c r="G1010" s="149" t="s">
        <v>143</v>
      </c>
      <c r="H1010" s="151" t="str">
        <f t="shared" si="76"/>
        <v>1995/04/29</v>
      </c>
      <c r="I1010" s="149" t="s">
        <v>301</v>
      </c>
      <c r="J1010" s="149" t="s">
        <v>3918</v>
      </c>
      <c r="K1010" s="101" t="str">
        <f t="shared" si="77"/>
        <v>95</v>
      </c>
      <c r="L1010" s="101" t="str">
        <f t="shared" si="78"/>
        <v>04</v>
      </c>
      <c r="M1010" s="101" t="str">
        <f t="shared" si="79"/>
        <v>29</v>
      </c>
    </row>
    <row r="1011" spans="1:13">
      <c r="A1011" t="str">
        <f t="shared" si="75"/>
        <v>美作大学3010男</v>
      </c>
      <c r="B1011" s="149" t="s">
        <v>1727</v>
      </c>
      <c r="C1011" s="149">
        <v>3010</v>
      </c>
      <c r="D1011" s="149" t="s">
        <v>2996</v>
      </c>
      <c r="E1011" s="149" t="s">
        <v>2997</v>
      </c>
      <c r="F1011" s="149" t="s">
        <v>267</v>
      </c>
      <c r="G1011" s="149" t="s">
        <v>143</v>
      </c>
      <c r="H1011" s="151" t="str">
        <f t="shared" si="76"/>
        <v>1995/09/04</v>
      </c>
      <c r="I1011" s="149" t="s">
        <v>263</v>
      </c>
      <c r="J1011" s="149" t="s">
        <v>3919</v>
      </c>
      <c r="K1011" s="101" t="str">
        <f t="shared" si="77"/>
        <v>95</v>
      </c>
      <c r="L1011" s="101" t="str">
        <f t="shared" si="78"/>
        <v>09</v>
      </c>
      <c r="M1011" s="101" t="str">
        <f t="shared" si="79"/>
        <v>04</v>
      </c>
    </row>
    <row r="1012" spans="1:13">
      <c r="A1012" t="str">
        <f t="shared" si="75"/>
        <v>四国学院大学3011男</v>
      </c>
      <c r="B1012" s="149" t="s">
        <v>2548</v>
      </c>
      <c r="C1012" s="149">
        <v>3011</v>
      </c>
      <c r="D1012" s="149" t="s">
        <v>2998</v>
      </c>
      <c r="E1012" s="149" t="s">
        <v>2999</v>
      </c>
      <c r="F1012" s="149" t="s">
        <v>280</v>
      </c>
      <c r="G1012" s="149" t="s">
        <v>143</v>
      </c>
      <c r="H1012" s="151" t="str">
        <f t="shared" si="76"/>
        <v>1996/05/31</v>
      </c>
      <c r="I1012" s="149" t="s">
        <v>289</v>
      </c>
      <c r="J1012" s="149" t="s">
        <v>3920</v>
      </c>
      <c r="K1012" s="101" t="str">
        <f t="shared" si="77"/>
        <v>96</v>
      </c>
      <c r="L1012" s="101" t="str">
        <f t="shared" si="78"/>
        <v>05</v>
      </c>
      <c r="M1012" s="101" t="str">
        <f t="shared" si="79"/>
        <v>31</v>
      </c>
    </row>
    <row r="1013" spans="1:13">
      <c r="A1013" t="str">
        <f t="shared" si="75"/>
        <v>四国学院大学3012男</v>
      </c>
      <c r="B1013" s="149" t="s">
        <v>2548</v>
      </c>
      <c r="C1013" s="149">
        <v>3012</v>
      </c>
      <c r="D1013" s="149" t="s">
        <v>3000</v>
      </c>
      <c r="E1013" s="149" t="s">
        <v>3001</v>
      </c>
      <c r="F1013" s="149" t="s">
        <v>280</v>
      </c>
      <c r="G1013" s="149" t="s">
        <v>143</v>
      </c>
      <c r="H1013" s="151" t="str">
        <f t="shared" si="76"/>
        <v>1997/01/04</v>
      </c>
      <c r="I1013" s="149" t="s">
        <v>289</v>
      </c>
      <c r="J1013" s="149" t="s">
        <v>734</v>
      </c>
      <c r="K1013" s="101" t="str">
        <f t="shared" si="77"/>
        <v>97</v>
      </c>
      <c r="L1013" s="101" t="str">
        <f t="shared" si="78"/>
        <v>01</v>
      </c>
      <c r="M1013" s="101" t="str">
        <f t="shared" si="79"/>
        <v>04</v>
      </c>
    </row>
    <row r="1014" spans="1:13">
      <c r="A1014" t="str">
        <f t="shared" si="75"/>
        <v>四国学院大学3013男</v>
      </c>
      <c r="B1014" s="149" t="s">
        <v>2548</v>
      </c>
      <c r="C1014" s="149">
        <v>3013</v>
      </c>
      <c r="D1014" s="149" t="s">
        <v>3002</v>
      </c>
      <c r="E1014" s="149" t="s">
        <v>3003</v>
      </c>
      <c r="F1014" s="149" t="s">
        <v>280</v>
      </c>
      <c r="G1014" s="149" t="s">
        <v>143</v>
      </c>
      <c r="H1014" s="151" t="str">
        <f t="shared" si="76"/>
        <v>1996/10/18</v>
      </c>
      <c r="I1014" s="149" t="s">
        <v>289</v>
      </c>
      <c r="J1014" s="149" t="s">
        <v>3921</v>
      </c>
      <c r="K1014" s="101" t="str">
        <f t="shared" si="77"/>
        <v>96</v>
      </c>
      <c r="L1014" s="101" t="str">
        <f t="shared" si="78"/>
        <v>10</v>
      </c>
      <c r="M1014" s="101" t="str">
        <f t="shared" si="79"/>
        <v>18</v>
      </c>
    </row>
    <row r="1015" spans="1:13">
      <c r="A1015" t="str">
        <f t="shared" si="75"/>
        <v>鳴門教育大学3014男</v>
      </c>
      <c r="B1015" s="149" t="s">
        <v>2088</v>
      </c>
      <c r="C1015" s="149">
        <v>3014</v>
      </c>
      <c r="D1015" s="149" t="s">
        <v>3004</v>
      </c>
      <c r="E1015" s="149" t="s">
        <v>3005</v>
      </c>
      <c r="F1015" s="149" t="s">
        <v>264</v>
      </c>
      <c r="G1015" s="149" t="s">
        <v>143</v>
      </c>
      <c r="H1015" s="151" t="str">
        <f t="shared" si="76"/>
        <v>1992/08/01</v>
      </c>
      <c r="I1015" s="149" t="s">
        <v>295</v>
      </c>
      <c r="J1015" s="149" t="s">
        <v>673</v>
      </c>
      <c r="K1015" s="101" t="str">
        <f t="shared" si="77"/>
        <v>92</v>
      </c>
      <c r="L1015" s="101" t="str">
        <f t="shared" si="78"/>
        <v>08</v>
      </c>
      <c r="M1015" s="101" t="str">
        <f t="shared" si="79"/>
        <v>01</v>
      </c>
    </row>
    <row r="1016" spans="1:13">
      <c r="A1016" t="str">
        <f t="shared" si="75"/>
        <v>広島経済大学3015男</v>
      </c>
      <c r="B1016" s="149" t="s">
        <v>1600</v>
      </c>
      <c r="C1016" s="149">
        <v>3015</v>
      </c>
      <c r="D1016" s="149" t="s">
        <v>3006</v>
      </c>
      <c r="E1016" s="149" t="s">
        <v>3007</v>
      </c>
      <c r="F1016" s="149" t="s">
        <v>265</v>
      </c>
      <c r="G1016" s="149" t="s">
        <v>143</v>
      </c>
      <c r="H1016" s="151" t="str">
        <f t="shared" si="76"/>
        <v>1994/10/04</v>
      </c>
      <c r="I1016" s="149" t="s">
        <v>269</v>
      </c>
      <c r="J1016" s="149" t="s">
        <v>417</v>
      </c>
      <c r="K1016" s="101" t="str">
        <f t="shared" si="77"/>
        <v>94</v>
      </c>
      <c r="L1016" s="101" t="str">
        <f t="shared" si="78"/>
        <v>10</v>
      </c>
      <c r="M1016" s="101" t="str">
        <f t="shared" si="79"/>
        <v>04</v>
      </c>
    </row>
    <row r="1017" spans="1:13">
      <c r="A1017" t="str">
        <f t="shared" si="75"/>
        <v>広島経済大学3016男</v>
      </c>
      <c r="B1017" s="149" t="s">
        <v>1600</v>
      </c>
      <c r="C1017" s="149">
        <v>3016</v>
      </c>
      <c r="D1017" s="149" t="s">
        <v>3008</v>
      </c>
      <c r="E1017" s="149" t="s">
        <v>3009</v>
      </c>
      <c r="F1017" s="149" t="s">
        <v>280</v>
      </c>
      <c r="G1017" s="149" t="s">
        <v>143</v>
      </c>
      <c r="H1017" s="151" t="str">
        <f t="shared" si="76"/>
        <v>1996/06/12</v>
      </c>
      <c r="I1017" s="149" t="s">
        <v>295</v>
      </c>
      <c r="J1017" s="149" t="s">
        <v>741</v>
      </c>
      <c r="K1017" s="101" t="str">
        <f t="shared" si="77"/>
        <v>96</v>
      </c>
      <c r="L1017" s="101" t="str">
        <f t="shared" si="78"/>
        <v>06</v>
      </c>
      <c r="M1017" s="101" t="str">
        <f t="shared" si="79"/>
        <v>12</v>
      </c>
    </row>
    <row r="1018" spans="1:13">
      <c r="A1018" t="str">
        <f t="shared" si="75"/>
        <v>広島経済大学3017男</v>
      </c>
      <c r="B1018" s="149" t="s">
        <v>1600</v>
      </c>
      <c r="C1018" s="149">
        <v>3017</v>
      </c>
      <c r="D1018" s="149" t="s">
        <v>3010</v>
      </c>
      <c r="E1018" s="149" t="s">
        <v>3011</v>
      </c>
      <c r="F1018" s="149" t="s">
        <v>280</v>
      </c>
      <c r="G1018" s="149" t="s">
        <v>143</v>
      </c>
      <c r="H1018" s="151" t="str">
        <f t="shared" si="76"/>
        <v>1997/01/26</v>
      </c>
      <c r="I1018" s="149" t="s">
        <v>269</v>
      </c>
      <c r="J1018" s="149" t="s">
        <v>3922</v>
      </c>
      <c r="K1018" s="101" t="str">
        <f t="shared" si="77"/>
        <v>97</v>
      </c>
      <c r="L1018" s="101" t="str">
        <f t="shared" si="78"/>
        <v>01</v>
      </c>
      <c r="M1018" s="101" t="str">
        <f t="shared" si="79"/>
        <v>26</v>
      </c>
    </row>
    <row r="1019" spans="1:13">
      <c r="A1019" t="str">
        <f t="shared" si="75"/>
        <v>広島経済大学3018男</v>
      </c>
      <c r="B1019" s="149" t="s">
        <v>1600</v>
      </c>
      <c r="C1019" s="149">
        <v>3018</v>
      </c>
      <c r="D1019" s="149" t="s">
        <v>3012</v>
      </c>
      <c r="E1019" s="149" t="s">
        <v>3013</v>
      </c>
      <c r="F1019" s="149" t="s">
        <v>280</v>
      </c>
      <c r="G1019" s="149" t="s">
        <v>143</v>
      </c>
      <c r="H1019" s="151" t="str">
        <f t="shared" si="76"/>
        <v>1996/10/20</v>
      </c>
      <c r="I1019" s="149" t="s">
        <v>276</v>
      </c>
      <c r="J1019" s="149" t="s">
        <v>754</v>
      </c>
      <c r="K1019" s="101" t="str">
        <f t="shared" si="77"/>
        <v>96</v>
      </c>
      <c r="L1019" s="101" t="str">
        <f t="shared" si="78"/>
        <v>10</v>
      </c>
      <c r="M1019" s="101" t="str">
        <f t="shared" si="79"/>
        <v>20</v>
      </c>
    </row>
    <row r="1020" spans="1:13">
      <c r="A1020" t="str">
        <f t="shared" si="75"/>
        <v>広島経済大学3019男</v>
      </c>
      <c r="B1020" s="149" t="s">
        <v>1600</v>
      </c>
      <c r="C1020" s="149">
        <v>3019</v>
      </c>
      <c r="D1020" s="149" t="s">
        <v>3014</v>
      </c>
      <c r="E1020" s="149" t="s">
        <v>3015</v>
      </c>
      <c r="F1020" s="149" t="s">
        <v>280</v>
      </c>
      <c r="G1020" s="149" t="s">
        <v>143</v>
      </c>
      <c r="H1020" s="151" t="str">
        <f t="shared" si="76"/>
        <v>1996/11/16</v>
      </c>
      <c r="I1020" s="149" t="s">
        <v>295</v>
      </c>
      <c r="J1020" s="149" t="s">
        <v>948</v>
      </c>
      <c r="K1020" s="101" t="str">
        <f t="shared" si="77"/>
        <v>96</v>
      </c>
      <c r="L1020" s="101" t="str">
        <f t="shared" si="78"/>
        <v>11</v>
      </c>
      <c r="M1020" s="101" t="str">
        <f t="shared" si="79"/>
        <v>16</v>
      </c>
    </row>
    <row r="1021" spans="1:13">
      <c r="A1021" t="str">
        <f t="shared" si="75"/>
        <v>広島経済大学3020男</v>
      </c>
      <c r="B1021" s="149" t="s">
        <v>1600</v>
      </c>
      <c r="C1021" s="149">
        <v>3020</v>
      </c>
      <c r="D1021" s="149" t="s">
        <v>3016</v>
      </c>
      <c r="E1021" s="149" t="s">
        <v>3017</v>
      </c>
      <c r="F1021" s="149" t="s">
        <v>280</v>
      </c>
      <c r="G1021" s="149" t="s">
        <v>143</v>
      </c>
      <c r="H1021" s="151" t="str">
        <f t="shared" si="76"/>
        <v>1996/08/05</v>
      </c>
      <c r="I1021" s="149" t="s">
        <v>295</v>
      </c>
      <c r="J1021" s="149" t="s">
        <v>3923</v>
      </c>
      <c r="K1021" s="101" t="str">
        <f t="shared" si="77"/>
        <v>96</v>
      </c>
      <c r="L1021" s="101" t="str">
        <f t="shared" si="78"/>
        <v>08</v>
      </c>
      <c r="M1021" s="101" t="str">
        <f t="shared" si="79"/>
        <v>05</v>
      </c>
    </row>
    <row r="1022" spans="1:13">
      <c r="A1022" t="str">
        <f t="shared" si="75"/>
        <v>広島経済大学3021男</v>
      </c>
      <c r="B1022" s="149" t="s">
        <v>1600</v>
      </c>
      <c r="C1022" s="149">
        <v>3021</v>
      </c>
      <c r="D1022" s="149" t="s">
        <v>3018</v>
      </c>
      <c r="E1022" s="149" t="s">
        <v>3019</v>
      </c>
      <c r="F1022" s="149" t="s">
        <v>280</v>
      </c>
      <c r="G1022" s="149" t="s">
        <v>143</v>
      </c>
      <c r="H1022" s="151" t="str">
        <f t="shared" si="76"/>
        <v>1996/06/01</v>
      </c>
      <c r="I1022" s="149" t="s">
        <v>295</v>
      </c>
      <c r="J1022" s="149" t="s">
        <v>870</v>
      </c>
      <c r="K1022" s="101" t="str">
        <f t="shared" si="77"/>
        <v>96</v>
      </c>
      <c r="L1022" s="101" t="str">
        <f t="shared" si="78"/>
        <v>06</v>
      </c>
      <c r="M1022" s="101" t="str">
        <f t="shared" si="79"/>
        <v>01</v>
      </c>
    </row>
    <row r="1023" spans="1:13">
      <c r="A1023" t="str">
        <f t="shared" si="75"/>
        <v>広島経済大学3022男</v>
      </c>
      <c r="B1023" s="149" t="s">
        <v>1600</v>
      </c>
      <c r="C1023" s="149">
        <v>3022</v>
      </c>
      <c r="D1023" s="149" t="s">
        <v>3020</v>
      </c>
      <c r="E1023" s="149" t="s">
        <v>3021</v>
      </c>
      <c r="F1023" s="149" t="s">
        <v>280</v>
      </c>
      <c r="G1023" s="149" t="s">
        <v>143</v>
      </c>
      <c r="H1023" s="151" t="str">
        <f t="shared" si="76"/>
        <v>1996/08/05</v>
      </c>
      <c r="I1023" s="149" t="s">
        <v>299</v>
      </c>
      <c r="J1023" s="149" t="s">
        <v>3923</v>
      </c>
      <c r="K1023" s="101" t="str">
        <f t="shared" si="77"/>
        <v>96</v>
      </c>
      <c r="L1023" s="101" t="str">
        <f t="shared" si="78"/>
        <v>08</v>
      </c>
      <c r="M1023" s="101" t="str">
        <f t="shared" si="79"/>
        <v>05</v>
      </c>
    </row>
    <row r="1024" spans="1:13">
      <c r="A1024" t="str">
        <f t="shared" si="75"/>
        <v>広島経済大学3023男</v>
      </c>
      <c r="B1024" s="149" t="s">
        <v>1600</v>
      </c>
      <c r="C1024" s="149">
        <v>3023</v>
      </c>
      <c r="D1024" s="149" t="s">
        <v>3022</v>
      </c>
      <c r="E1024" s="149" t="s">
        <v>3023</v>
      </c>
      <c r="F1024" s="149" t="s">
        <v>280</v>
      </c>
      <c r="G1024" s="149" t="s">
        <v>143</v>
      </c>
      <c r="H1024" s="151" t="str">
        <f t="shared" si="76"/>
        <v>1996/05/08</v>
      </c>
      <c r="I1024" s="149" t="s">
        <v>295</v>
      </c>
      <c r="J1024" s="149" t="s">
        <v>3924</v>
      </c>
      <c r="K1024" s="101" t="str">
        <f t="shared" si="77"/>
        <v>96</v>
      </c>
      <c r="L1024" s="101" t="str">
        <f t="shared" si="78"/>
        <v>05</v>
      </c>
      <c r="M1024" s="101" t="str">
        <f t="shared" si="79"/>
        <v>08</v>
      </c>
    </row>
    <row r="1025" spans="1:13">
      <c r="A1025" t="str">
        <f t="shared" si="75"/>
        <v>広島経済大学3024男</v>
      </c>
      <c r="B1025" s="149" t="s">
        <v>1600</v>
      </c>
      <c r="C1025" s="149">
        <v>3024</v>
      </c>
      <c r="D1025" s="149" t="s">
        <v>3024</v>
      </c>
      <c r="E1025" s="149" t="s">
        <v>3025</v>
      </c>
      <c r="F1025" s="149" t="s">
        <v>280</v>
      </c>
      <c r="G1025" s="149" t="s">
        <v>143</v>
      </c>
      <c r="H1025" s="151" t="str">
        <f t="shared" si="76"/>
        <v>1996/11/22</v>
      </c>
      <c r="I1025" s="149" t="s">
        <v>301</v>
      </c>
      <c r="J1025" s="149" t="s">
        <v>832</v>
      </c>
      <c r="K1025" s="101" t="str">
        <f t="shared" si="77"/>
        <v>96</v>
      </c>
      <c r="L1025" s="101" t="str">
        <f t="shared" si="78"/>
        <v>11</v>
      </c>
      <c r="M1025" s="101" t="str">
        <f t="shared" si="79"/>
        <v>22</v>
      </c>
    </row>
    <row r="1026" spans="1:13">
      <c r="A1026" t="str">
        <f t="shared" ref="A1026:A1089" si="80">B1026&amp;C1026&amp;G1026</f>
        <v>広島経済大学3025男</v>
      </c>
      <c r="B1026" s="149" t="s">
        <v>1600</v>
      </c>
      <c r="C1026" s="149">
        <v>3025</v>
      </c>
      <c r="D1026" s="149" t="s">
        <v>3026</v>
      </c>
      <c r="E1026" s="149" t="s">
        <v>3027</v>
      </c>
      <c r="F1026" s="149" t="s">
        <v>280</v>
      </c>
      <c r="G1026" s="149" t="s">
        <v>143</v>
      </c>
      <c r="H1026" s="151" t="str">
        <f t="shared" si="76"/>
        <v>1996/07/19</v>
      </c>
      <c r="I1026" s="149" t="s">
        <v>295</v>
      </c>
      <c r="J1026" s="149" t="s">
        <v>3925</v>
      </c>
      <c r="K1026" s="101" t="str">
        <f t="shared" si="77"/>
        <v>96</v>
      </c>
      <c r="L1026" s="101" t="str">
        <f t="shared" si="78"/>
        <v>07</v>
      </c>
      <c r="M1026" s="101" t="str">
        <f t="shared" si="79"/>
        <v>19</v>
      </c>
    </row>
    <row r="1027" spans="1:13">
      <c r="A1027" t="str">
        <f t="shared" si="80"/>
        <v>広島経済大学3026男</v>
      </c>
      <c r="B1027" s="149" t="s">
        <v>1600</v>
      </c>
      <c r="C1027" s="149">
        <v>3026</v>
      </c>
      <c r="D1027" s="149" t="s">
        <v>3028</v>
      </c>
      <c r="E1027" s="149" t="s">
        <v>3029</v>
      </c>
      <c r="F1027" s="149" t="s">
        <v>280</v>
      </c>
      <c r="G1027" s="149" t="s">
        <v>143</v>
      </c>
      <c r="H1027" s="151" t="str">
        <f t="shared" ref="H1027:H1090" si="81">"19"&amp;K1027&amp;"/"&amp;L1027&amp;"/"&amp;M1027</f>
        <v>1996/04/23</v>
      </c>
      <c r="I1027" s="149" t="s">
        <v>295</v>
      </c>
      <c r="J1027" s="149" t="s">
        <v>3926</v>
      </c>
      <c r="K1027" s="101" t="str">
        <f t="shared" ref="K1027:K1090" si="82">MID(J1027,1,2)</f>
        <v>96</v>
      </c>
      <c r="L1027" s="101" t="str">
        <f t="shared" ref="L1027:L1090" si="83">MID(J1027,3,2)</f>
        <v>04</v>
      </c>
      <c r="M1027" s="101" t="str">
        <f t="shared" ref="M1027:M1090" si="84">MID(J1027,5,2)</f>
        <v>23</v>
      </c>
    </row>
    <row r="1028" spans="1:13">
      <c r="A1028" t="str">
        <f t="shared" si="80"/>
        <v>広島経済大学3027男</v>
      </c>
      <c r="B1028" s="149" t="s">
        <v>1600</v>
      </c>
      <c r="C1028" s="149">
        <v>3027</v>
      </c>
      <c r="D1028" s="149" t="s">
        <v>3030</v>
      </c>
      <c r="E1028" s="149" t="s">
        <v>3031</v>
      </c>
      <c r="F1028" s="149" t="s">
        <v>280</v>
      </c>
      <c r="G1028" s="149" t="s">
        <v>143</v>
      </c>
      <c r="H1028" s="151" t="str">
        <f t="shared" si="81"/>
        <v>1996/09/30</v>
      </c>
      <c r="I1028" s="149" t="s">
        <v>295</v>
      </c>
      <c r="J1028" s="149" t="s">
        <v>733</v>
      </c>
      <c r="K1028" s="101" t="str">
        <f t="shared" si="82"/>
        <v>96</v>
      </c>
      <c r="L1028" s="101" t="str">
        <f t="shared" si="83"/>
        <v>09</v>
      </c>
      <c r="M1028" s="101" t="str">
        <f t="shared" si="84"/>
        <v>30</v>
      </c>
    </row>
    <row r="1029" spans="1:13">
      <c r="A1029" t="str">
        <f t="shared" si="80"/>
        <v>広島経済大学3028男</v>
      </c>
      <c r="B1029" s="149" t="s">
        <v>1600</v>
      </c>
      <c r="C1029" s="149">
        <v>3028</v>
      </c>
      <c r="D1029" s="149" t="s">
        <v>3032</v>
      </c>
      <c r="E1029" s="149" t="s">
        <v>3033</v>
      </c>
      <c r="F1029" s="149" t="s">
        <v>280</v>
      </c>
      <c r="G1029" s="149" t="s">
        <v>143</v>
      </c>
      <c r="H1029" s="151" t="str">
        <f t="shared" si="81"/>
        <v>1996/06/20</v>
      </c>
      <c r="I1029" s="149" t="s">
        <v>299</v>
      </c>
      <c r="J1029" s="149" t="s">
        <v>756</v>
      </c>
      <c r="K1029" s="101" t="str">
        <f t="shared" si="82"/>
        <v>96</v>
      </c>
      <c r="L1029" s="101" t="str">
        <f t="shared" si="83"/>
        <v>06</v>
      </c>
      <c r="M1029" s="101" t="str">
        <f t="shared" si="84"/>
        <v>20</v>
      </c>
    </row>
    <row r="1030" spans="1:13">
      <c r="A1030" t="str">
        <f t="shared" si="80"/>
        <v>広島経済大学3029男</v>
      </c>
      <c r="B1030" s="149" t="s">
        <v>1600</v>
      </c>
      <c r="C1030" s="149">
        <v>3029</v>
      </c>
      <c r="D1030" s="149" t="s">
        <v>3034</v>
      </c>
      <c r="E1030" s="149" t="s">
        <v>3035</v>
      </c>
      <c r="F1030" s="149" t="s">
        <v>280</v>
      </c>
      <c r="G1030" s="149" t="s">
        <v>143</v>
      </c>
      <c r="H1030" s="151" t="str">
        <f t="shared" si="81"/>
        <v>1997/03/28</v>
      </c>
      <c r="I1030" s="149" t="s">
        <v>299</v>
      </c>
      <c r="J1030" s="149" t="s">
        <v>3927</v>
      </c>
      <c r="K1030" s="101" t="str">
        <f t="shared" si="82"/>
        <v>97</v>
      </c>
      <c r="L1030" s="101" t="str">
        <f t="shared" si="83"/>
        <v>03</v>
      </c>
      <c r="M1030" s="101" t="str">
        <f t="shared" si="84"/>
        <v>28</v>
      </c>
    </row>
    <row r="1031" spans="1:13">
      <c r="A1031" t="str">
        <f t="shared" si="80"/>
        <v>広島経済大学3030男</v>
      </c>
      <c r="B1031" s="149" t="s">
        <v>1600</v>
      </c>
      <c r="C1031" s="149">
        <v>3030</v>
      </c>
      <c r="D1031" s="149" t="s">
        <v>3036</v>
      </c>
      <c r="E1031" s="149" t="s">
        <v>3037</v>
      </c>
      <c r="F1031" s="149" t="s">
        <v>280</v>
      </c>
      <c r="G1031" s="149" t="s">
        <v>143</v>
      </c>
      <c r="H1031" s="151" t="str">
        <f t="shared" si="81"/>
        <v>1996/12/26</v>
      </c>
      <c r="I1031" s="149" t="s">
        <v>299</v>
      </c>
      <c r="J1031" s="149" t="s">
        <v>802</v>
      </c>
      <c r="K1031" s="101" t="str">
        <f t="shared" si="82"/>
        <v>96</v>
      </c>
      <c r="L1031" s="101" t="str">
        <f t="shared" si="83"/>
        <v>12</v>
      </c>
      <c r="M1031" s="101" t="str">
        <f t="shared" si="84"/>
        <v>26</v>
      </c>
    </row>
    <row r="1032" spans="1:13">
      <c r="A1032" t="str">
        <f t="shared" si="80"/>
        <v>香川高等専門学校3031男</v>
      </c>
      <c r="B1032" s="149" t="s">
        <v>3038</v>
      </c>
      <c r="C1032" s="149">
        <v>3031</v>
      </c>
      <c r="D1032" s="149" t="s">
        <v>3039</v>
      </c>
      <c r="E1032" s="149" t="s">
        <v>3040</v>
      </c>
      <c r="F1032" s="149" t="s">
        <v>260</v>
      </c>
      <c r="G1032" s="149" t="s">
        <v>143</v>
      </c>
      <c r="H1032" s="151" t="str">
        <f t="shared" si="81"/>
        <v>1996/11/29</v>
      </c>
      <c r="I1032" s="149" t="s">
        <v>289</v>
      </c>
      <c r="J1032" s="149" t="s">
        <v>745</v>
      </c>
      <c r="K1032" s="101" t="str">
        <f t="shared" si="82"/>
        <v>96</v>
      </c>
      <c r="L1032" s="101" t="str">
        <f t="shared" si="83"/>
        <v>11</v>
      </c>
      <c r="M1032" s="101" t="str">
        <f t="shared" si="84"/>
        <v>29</v>
      </c>
    </row>
    <row r="1033" spans="1:13">
      <c r="A1033" t="str">
        <f t="shared" si="80"/>
        <v>米子工業高等専門学校3032男</v>
      </c>
      <c r="B1033" s="149" t="s">
        <v>3041</v>
      </c>
      <c r="C1033" s="149">
        <v>3032</v>
      </c>
      <c r="D1033" s="149" t="s">
        <v>3042</v>
      </c>
      <c r="E1033" s="149" t="s">
        <v>3043</v>
      </c>
      <c r="F1033" s="149" t="s">
        <v>293</v>
      </c>
      <c r="G1033" s="149" t="s">
        <v>143</v>
      </c>
      <c r="H1033" s="151" t="str">
        <f t="shared" si="81"/>
        <v>1995/12/27</v>
      </c>
      <c r="I1033" s="149" t="s">
        <v>302</v>
      </c>
      <c r="J1033" s="149" t="s">
        <v>622</v>
      </c>
      <c r="K1033" s="101" t="str">
        <f t="shared" si="82"/>
        <v>95</v>
      </c>
      <c r="L1033" s="101" t="str">
        <f t="shared" si="83"/>
        <v>12</v>
      </c>
      <c r="M1033" s="101" t="str">
        <f t="shared" si="84"/>
        <v>27</v>
      </c>
    </row>
    <row r="1034" spans="1:13">
      <c r="A1034" t="str">
        <f t="shared" si="80"/>
        <v>米子工業高等専門学校3033男</v>
      </c>
      <c r="B1034" s="149" t="s">
        <v>3041</v>
      </c>
      <c r="C1034" s="149">
        <v>3033</v>
      </c>
      <c r="D1034" s="149" t="s">
        <v>3044</v>
      </c>
      <c r="E1034" s="149" t="s">
        <v>3045</v>
      </c>
      <c r="F1034" s="149" t="s">
        <v>293</v>
      </c>
      <c r="G1034" s="149" t="s">
        <v>143</v>
      </c>
      <c r="H1034" s="151" t="str">
        <f t="shared" si="81"/>
        <v>1995/10/22</v>
      </c>
      <c r="I1034" s="149" t="s">
        <v>302</v>
      </c>
      <c r="J1034" s="149" t="s">
        <v>3928</v>
      </c>
      <c r="K1034" s="101" t="str">
        <f t="shared" si="82"/>
        <v>95</v>
      </c>
      <c r="L1034" s="101" t="str">
        <f t="shared" si="83"/>
        <v>10</v>
      </c>
      <c r="M1034" s="101" t="str">
        <f t="shared" si="84"/>
        <v>22</v>
      </c>
    </row>
    <row r="1035" spans="1:13">
      <c r="A1035" t="str">
        <f t="shared" si="80"/>
        <v>米子工業高等専門学校3034男</v>
      </c>
      <c r="B1035" s="149" t="s">
        <v>3041</v>
      </c>
      <c r="C1035" s="149">
        <v>3034</v>
      </c>
      <c r="D1035" s="149" t="s">
        <v>3046</v>
      </c>
      <c r="E1035" s="149" t="s">
        <v>3047</v>
      </c>
      <c r="F1035" s="149" t="s">
        <v>293</v>
      </c>
      <c r="G1035" s="149" t="s">
        <v>143</v>
      </c>
      <c r="H1035" s="151" t="str">
        <f t="shared" si="81"/>
        <v>1995/08/17</v>
      </c>
      <c r="I1035" s="149" t="s">
        <v>302</v>
      </c>
      <c r="J1035" s="149" t="s">
        <v>913</v>
      </c>
      <c r="K1035" s="101" t="str">
        <f t="shared" si="82"/>
        <v>95</v>
      </c>
      <c r="L1035" s="101" t="str">
        <f t="shared" si="83"/>
        <v>08</v>
      </c>
      <c r="M1035" s="101" t="str">
        <f t="shared" si="84"/>
        <v>17</v>
      </c>
    </row>
    <row r="1036" spans="1:13">
      <c r="A1036" t="str">
        <f t="shared" si="80"/>
        <v>米子工業高等専門学校3035男</v>
      </c>
      <c r="B1036" s="149" t="s">
        <v>3041</v>
      </c>
      <c r="C1036" s="149">
        <v>3035</v>
      </c>
      <c r="D1036" s="149" t="s">
        <v>3048</v>
      </c>
      <c r="E1036" s="149" t="s">
        <v>3049</v>
      </c>
      <c r="F1036" s="149" t="s">
        <v>293</v>
      </c>
      <c r="G1036" s="149" t="s">
        <v>143</v>
      </c>
      <c r="H1036" s="151" t="str">
        <f t="shared" si="81"/>
        <v>1995/05/05</v>
      </c>
      <c r="I1036" s="149" t="s">
        <v>302</v>
      </c>
      <c r="J1036" s="149" t="s">
        <v>3657</v>
      </c>
      <c r="K1036" s="101" t="str">
        <f t="shared" si="82"/>
        <v>95</v>
      </c>
      <c r="L1036" s="101" t="str">
        <f t="shared" si="83"/>
        <v>05</v>
      </c>
      <c r="M1036" s="101" t="str">
        <f t="shared" si="84"/>
        <v>05</v>
      </c>
    </row>
    <row r="1037" spans="1:13">
      <c r="A1037" t="str">
        <f t="shared" si="80"/>
        <v>米子工業高等専門学校3036男</v>
      </c>
      <c r="B1037" s="149" t="s">
        <v>3041</v>
      </c>
      <c r="C1037" s="149">
        <v>3036</v>
      </c>
      <c r="D1037" s="149" t="s">
        <v>3050</v>
      </c>
      <c r="E1037" s="149" t="s">
        <v>3051</v>
      </c>
      <c r="F1037" s="149" t="s">
        <v>260</v>
      </c>
      <c r="G1037" s="149" t="s">
        <v>143</v>
      </c>
      <c r="H1037" s="151" t="str">
        <f t="shared" si="81"/>
        <v>1996/11/26</v>
      </c>
      <c r="I1037" s="149" t="s">
        <v>302</v>
      </c>
      <c r="J1037" s="149" t="s">
        <v>728</v>
      </c>
      <c r="K1037" s="101" t="str">
        <f t="shared" si="82"/>
        <v>96</v>
      </c>
      <c r="L1037" s="101" t="str">
        <f t="shared" si="83"/>
        <v>11</v>
      </c>
      <c r="M1037" s="101" t="str">
        <f t="shared" si="84"/>
        <v>26</v>
      </c>
    </row>
    <row r="1038" spans="1:13">
      <c r="A1038" t="str">
        <f t="shared" si="80"/>
        <v>米子工業高等専門学校3037男</v>
      </c>
      <c r="B1038" s="149" t="s">
        <v>3041</v>
      </c>
      <c r="C1038" s="149">
        <v>3037</v>
      </c>
      <c r="D1038" s="149" t="s">
        <v>3052</v>
      </c>
      <c r="E1038" s="149" t="s">
        <v>3053</v>
      </c>
      <c r="F1038" s="149" t="s">
        <v>260</v>
      </c>
      <c r="G1038" s="149" t="s">
        <v>143</v>
      </c>
      <c r="H1038" s="151" t="str">
        <f t="shared" si="81"/>
        <v>1996/12/21</v>
      </c>
      <c r="I1038" s="149" t="s">
        <v>302</v>
      </c>
      <c r="J1038" s="149" t="s">
        <v>3929</v>
      </c>
      <c r="K1038" s="101" t="str">
        <f t="shared" si="82"/>
        <v>96</v>
      </c>
      <c r="L1038" s="101" t="str">
        <f t="shared" si="83"/>
        <v>12</v>
      </c>
      <c r="M1038" s="101" t="str">
        <f t="shared" si="84"/>
        <v>21</v>
      </c>
    </row>
    <row r="1039" spans="1:13">
      <c r="A1039" t="str">
        <f t="shared" si="80"/>
        <v>米子工業高等専門学校3038男</v>
      </c>
      <c r="B1039" s="149" t="s">
        <v>3041</v>
      </c>
      <c r="C1039" s="149">
        <v>3038</v>
      </c>
      <c r="D1039" s="149" t="s">
        <v>3054</v>
      </c>
      <c r="E1039" s="149" t="s">
        <v>3055</v>
      </c>
      <c r="F1039" s="149" t="s">
        <v>260</v>
      </c>
      <c r="G1039" s="149" t="s">
        <v>143</v>
      </c>
      <c r="H1039" s="151" t="str">
        <f t="shared" si="81"/>
        <v>1997/03/21</v>
      </c>
      <c r="I1039" s="149" t="s">
        <v>302</v>
      </c>
      <c r="J1039" s="149" t="s">
        <v>938</v>
      </c>
      <c r="K1039" s="101" t="str">
        <f t="shared" si="82"/>
        <v>97</v>
      </c>
      <c r="L1039" s="101" t="str">
        <f t="shared" si="83"/>
        <v>03</v>
      </c>
      <c r="M1039" s="101" t="str">
        <f t="shared" si="84"/>
        <v>21</v>
      </c>
    </row>
    <row r="1040" spans="1:13">
      <c r="A1040" t="str">
        <f t="shared" si="80"/>
        <v>広島大学3039男</v>
      </c>
      <c r="B1040" s="149" t="s">
        <v>1364</v>
      </c>
      <c r="C1040" s="149">
        <v>3039</v>
      </c>
      <c r="D1040" s="149" t="s">
        <v>3056</v>
      </c>
      <c r="E1040" s="149" t="s">
        <v>3057</v>
      </c>
      <c r="F1040" s="149" t="s">
        <v>260</v>
      </c>
      <c r="G1040" s="149" t="s">
        <v>143</v>
      </c>
      <c r="H1040" s="151" t="str">
        <f t="shared" si="81"/>
        <v>1993/05/15</v>
      </c>
      <c r="I1040" s="149" t="s">
        <v>299</v>
      </c>
      <c r="J1040" s="149" t="s">
        <v>771</v>
      </c>
      <c r="K1040" s="101" t="str">
        <f t="shared" si="82"/>
        <v>93</v>
      </c>
      <c r="L1040" s="101" t="str">
        <f t="shared" si="83"/>
        <v>05</v>
      </c>
      <c r="M1040" s="101" t="str">
        <f t="shared" si="84"/>
        <v>15</v>
      </c>
    </row>
    <row r="1041" spans="1:13">
      <c r="A1041" t="str">
        <f t="shared" si="80"/>
        <v>岡山理科大学3040男</v>
      </c>
      <c r="B1041" s="149" t="s">
        <v>1690</v>
      </c>
      <c r="C1041" s="149">
        <v>3040</v>
      </c>
      <c r="D1041" s="149" t="s">
        <v>3058</v>
      </c>
      <c r="E1041" s="149" t="s">
        <v>3059</v>
      </c>
      <c r="F1041" s="149" t="s">
        <v>260</v>
      </c>
      <c r="G1041" s="149" t="s">
        <v>143</v>
      </c>
      <c r="H1041" s="151" t="str">
        <f t="shared" si="81"/>
        <v>1993/08/12</v>
      </c>
      <c r="I1041" s="149" t="s">
        <v>299</v>
      </c>
      <c r="J1041" s="149" t="s">
        <v>329</v>
      </c>
      <c r="K1041" s="101" t="str">
        <f t="shared" si="82"/>
        <v>93</v>
      </c>
      <c r="L1041" s="101" t="str">
        <f t="shared" si="83"/>
        <v>08</v>
      </c>
      <c r="M1041" s="101" t="str">
        <f t="shared" si="84"/>
        <v>12</v>
      </c>
    </row>
    <row r="1042" spans="1:13">
      <c r="A1042" t="str">
        <f t="shared" si="80"/>
        <v>高知大学3041男</v>
      </c>
      <c r="B1042" s="149" t="s">
        <v>1787</v>
      </c>
      <c r="C1042" s="149">
        <v>3041</v>
      </c>
      <c r="D1042" s="149" t="s">
        <v>3060</v>
      </c>
      <c r="E1042" s="149" t="s">
        <v>3061</v>
      </c>
      <c r="F1042" s="149" t="s">
        <v>280</v>
      </c>
      <c r="G1042" s="149" t="s">
        <v>143</v>
      </c>
      <c r="H1042" s="151" t="str">
        <f t="shared" si="81"/>
        <v>1997/02/06</v>
      </c>
      <c r="I1042" s="149" t="s">
        <v>263</v>
      </c>
      <c r="J1042" s="149" t="s">
        <v>3930</v>
      </c>
      <c r="K1042" s="101" t="str">
        <f t="shared" si="82"/>
        <v>97</v>
      </c>
      <c r="L1042" s="101" t="str">
        <f t="shared" si="83"/>
        <v>02</v>
      </c>
      <c r="M1042" s="101" t="str">
        <f t="shared" si="84"/>
        <v>06</v>
      </c>
    </row>
    <row r="1043" spans="1:13">
      <c r="A1043" t="str">
        <f t="shared" si="80"/>
        <v>高知大学3042男</v>
      </c>
      <c r="B1043" s="149" t="s">
        <v>1787</v>
      </c>
      <c r="C1043" s="149">
        <v>3042</v>
      </c>
      <c r="D1043" s="149" t="s">
        <v>3062</v>
      </c>
      <c r="E1043" s="149" t="s">
        <v>3063</v>
      </c>
      <c r="F1043" s="149" t="s">
        <v>280</v>
      </c>
      <c r="G1043" s="149" t="s">
        <v>143</v>
      </c>
      <c r="H1043" s="151" t="str">
        <f t="shared" si="81"/>
        <v>1995/08/25</v>
      </c>
      <c r="I1043" s="149" t="s">
        <v>263</v>
      </c>
      <c r="J1043" s="149" t="s">
        <v>3931</v>
      </c>
      <c r="K1043" s="101" t="str">
        <f t="shared" si="82"/>
        <v>95</v>
      </c>
      <c r="L1043" s="101" t="str">
        <f t="shared" si="83"/>
        <v>08</v>
      </c>
      <c r="M1043" s="101" t="str">
        <f t="shared" si="84"/>
        <v>25</v>
      </c>
    </row>
    <row r="1044" spans="1:13">
      <c r="A1044" t="str">
        <f t="shared" si="80"/>
        <v>高知大学3043男</v>
      </c>
      <c r="B1044" s="149" t="s">
        <v>1787</v>
      </c>
      <c r="C1044" s="149">
        <v>3043</v>
      </c>
      <c r="D1044" s="149" t="s">
        <v>3064</v>
      </c>
      <c r="E1044" s="149" t="s">
        <v>3065</v>
      </c>
      <c r="F1044" s="149" t="s">
        <v>280</v>
      </c>
      <c r="G1044" s="149" t="s">
        <v>143</v>
      </c>
      <c r="H1044" s="151" t="str">
        <f t="shared" si="81"/>
        <v>1996/08/19</v>
      </c>
      <c r="I1044" s="149" t="s">
        <v>263</v>
      </c>
      <c r="J1044" s="149" t="s">
        <v>725</v>
      </c>
      <c r="K1044" s="101" t="str">
        <f t="shared" si="82"/>
        <v>96</v>
      </c>
      <c r="L1044" s="101" t="str">
        <f t="shared" si="83"/>
        <v>08</v>
      </c>
      <c r="M1044" s="101" t="str">
        <f t="shared" si="84"/>
        <v>19</v>
      </c>
    </row>
    <row r="1045" spans="1:13">
      <c r="A1045" t="str">
        <f t="shared" si="80"/>
        <v>高知大学3044男</v>
      </c>
      <c r="B1045" s="149" t="s">
        <v>1787</v>
      </c>
      <c r="C1045" s="149">
        <v>3044</v>
      </c>
      <c r="D1045" s="149" t="s">
        <v>3066</v>
      </c>
      <c r="E1045" s="149" t="s">
        <v>3067</v>
      </c>
      <c r="F1045" s="149" t="s">
        <v>280</v>
      </c>
      <c r="G1045" s="149" t="s">
        <v>143</v>
      </c>
      <c r="H1045" s="151" t="str">
        <f t="shared" si="81"/>
        <v>1996/06/14</v>
      </c>
      <c r="I1045" s="149" t="s">
        <v>263</v>
      </c>
      <c r="J1045" s="149" t="s">
        <v>723</v>
      </c>
      <c r="K1045" s="101" t="str">
        <f t="shared" si="82"/>
        <v>96</v>
      </c>
      <c r="L1045" s="101" t="str">
        <f t="shared" si="83"/>
        <v>06</v>
      </c>
      <c r="M1045" s="101" t="str">
        <f t="shared" si="84"/>
        <v>14</v>
      </c>
    </row>
    <row r="1046" spans="1:13">
      <c r="A1046" t="str">
        <f t="shared" si="80"/>
        <v>高知大学3045男</v>
      </c>
      <c r="B1046" s="149" t="s">
        <v>1787</v>
      </c>
      <c r="C1046" s="149">
        <v>3045</v>
      </c>
      <c r="D1046" s="149" t="s">
        <v>3068</v>
      </c>
      <c r="E1046" s="149" t="s">
        <v>3069</v>
      </c>
      <c r="F1046" s="149" t="s">
        <v>280</v>
      </c>
      <c r="G1046" s="149" t="s">
        <v>143</v>
      </c>
      <c r="H1046" s="151" t="str">
        <f t="shared" si="81"/>
        <v>1996/07/26</v>
      </c>
      <c r="I1046" s="149" t="s">
        <v>263</v>
      </c>
      <c r="J1046" s="149" t="s">
        <v>3932</v>
      </c>
      <c r="K1046" s="101" t="str">
        <f t="shared" si="82"/>
        <v>96</v>
      </c>
      <c r="L1046" s="101" t="str">
        <f t="shared" si="83"/>
        <v>07</v>
      </c>
      <c r="M1046" s="101" t="str">
        <f t="shared" si="84"/>
        <v>26</v>
      </c>
    </row>
    <row r="1047" spans="1:13">
      <c r="A1047" t="str">
        <f t="shared" si="80"/>
        <v>高知大学3046男</v>
      </c>
      <c r="B1047" s="149" t="s">
        <v>1787</v>
      </c>
      <c r="C1047" s="149">
        <v>3046</v>
      </c>
      <c r="D1047" s="149" t="s">
        <v>3070</v>
      </c>
      <c r="E1047" s="149" t="s">
        <v>3071</v>
      </c>
      <c r="F1047" s="149" t="s">
        <v>280</v>
      </c>
      <c r="G1047" s="149" t="s">
        <v>143</v>
      </c>
      <c r="H1047" s="151" t="str">
        <f t="shared" si="81"/>
        <v>1996/08/29</v>
      </c>
      <c r="I1047" s="149" t="s">
        <v>263</v>
      </c>
      <c r="J1047" s="149" t="s">
        <v>937</v>
      </c>
      <c r="K1047" s="101" t="str">
        <f t="shared" si="82"/>
        <v>96</v>
      </c>
      <c r="L1047" s="101" t="str">
        <f t="shared" si="83"/>
        <v>08</v>
      </c>
      <c r="M1047" s="101" t="str">
        <f t="shared" si="84"/>
        <v>29</v>
      </c>
    </row>
    <row r="1048" spans="1:13">
      <c r="A1048" t="str">
        <f t="shared" si="80"/>
        <v>高知大学3047男</v>
      </c>
      <c r="B1048" s="149" t="s">
        <v>1787</v>
      </c>
      <c r="C1048" s="149">
        <v>3047</v>
      </c>
      <c r="D1048" s="149" t="s">
        <v>3072</v>
      </c>
      <c r="E1048" s="149" t="s">
        <v>3073</v>
      </c>
      <c r="F1048" s="149" t="s">
        <v>280</v>
      </c>
      <c r="G1048" s="149" t="s">
        <v>143</v>
      </c>
      <c r="H1048" s="151" t="str">
        <f t="shared" si="81"/>
        <v>1996/05/17</v>
      </c>
      <c r="I1048" s="149" t="s">
        <v>263</v>
      </c>
      <c r="J1048" s="149" t="s">
        <v>761</v>
      </c>
      <c r="K1048" s="101" t="str">
        <f t="shared" si="82"/>
        <v>96</v>
      </c>
      <c r="L1048" s="101" t="str">
        <f t="shared" si="83"/>
        <v>05</v>
      </c>
      <c r="M1048" s="101" t="str">
        <f t="shared" si="84"/>
        <v>17</v>
      </c>
    </row>
    <row r="1049" spans="1:13">
      <c r="A1049" t="str">
        <f t="shared" si="80"/>
        <v>就実大学3048男</v>
      </c>
      <c r="B1049" s="149" t="s">
        <v>3074</v>
      </c>
      <c r="C1049" s="149">
        <v>3048</v>
      </c>
      <c r="D1049" s="149" t="s">
        <v>3075</v>
      </c>
      <c r="E1049" s="149" t="s">
        <v>3076</v>
      </c>
      <c r="F1049" s="149" t="s">
        <v>267</v>
      </c>
      <c r="G1049" s="149" t="s">
        <v>143</v>
      </c>
      <c r="H1049" s="151" t="str">
        <f t="shared" si="81"/>
        <v>1995/06/07</v>
      </c>
      <c r="I1049" s="149" t="s">
        <v>299</v>
      </c>
      <c r="J1049" s="149" t="s">
        <v>502</v>
      </c>
      <c r="K1049" s="101" t="str">
        <f t="shared" si="82"/>
        <v>95</v>
      </c>
      <c r="L1049" s="101" t="str">
        <f t="shared" si="83"/>
        <v>06</v>
      </c>
      <c r="M1049" s="101" t="str">
        <f t="shared" si="84"/>
        <v>07</v>
      </c>
    </row>
    <row r="1050" spans="1:13">
      <c r="A1050" t="str">
        <f t="shared" si="80"/>
        <v>就実大学3049男</v>
      </c>
      <c r="B1050" s="149" t="s">
        <v>3074</v>
      </c>
      <c r="C1050" s="149">
        <v>3049</v>
      </c>
      <c r="D1050" s="149" t="s">
        <v>3077</v>
      </c>
      <c r="E1050" s="149" t="s">
        <v>3078</v>
      </c>
      <c r="F1050" s="149" t="s">
        <v>267</v>
      </c>
      <c r="G1050" s="149" t="s">
        <v>143</v>
      </c>
      <c r="H1050" s="151" t="str">
        <f t="shared" si="81"/>
        <v>1995/08/01</v>
      </c>
      <c r="I1050" s="149" t="s">
        <v>299</v>
      </c>
      <c r="J1050" s="149" t="s">
        <v>384</v>
      </c>
      <c r="K1050" s="101" t="str">
        <f t="shared" si="82"/>
        <v>95</v>
      </c>
      <c r="L1050" s="101" t="str">
        <f t="shared" si="83"/>
        <v>08</v>
      </c>
      <c r="M1050" s="101" t="str">
        <f t="shared" si="84"/>
        <v>01</v>
      </c>
    </row>
    <row r="1051" spans="1:13">
      <c r="A1051" t="str">
        <f t="shared" si="80"/>
        <v>就実大学3050男</v>
      </c>
      <c r="B1051" s="149" t="s">
        <v>3074</v>
      </c>
      <c r="C1051" s="149">
        <v>3050</v>
      </c>
      <c r="D1051" s="149" t="s">
        <v>3079</v>
      </c>
      <c r="E1051" s="149" t="s">
        <v>3080</v>
      </c>
      <c r="F1051" s="149" t="s">
        <v>267</v>
      </c>
      <c r="G1051" s="149" t="s">
        <v>143</v>
      </c>
      <c r="H1051" s="151" t="str">
        <f t="shared" si="81"/>
        <v>1995/10/14</v>
      </c>
      <c r="I1051" s="149" t="s">
        <v>299</v>
      </c>
      <c r="J1051" s="149" t="s">
        <v>505</v>
      </c>
      <c r="K1051" s="101" t="str">
        <f t="shared" si="82"/>
        <v>95</v>
      </c>
      <c r="L1051" s="101" t="str">
        <f t="shared" si="83"/>
        <v>10</v>
      </c>
      <c r="M1051" s="101" t="str">
        <f t="shared" si="84"/>
        <v>14</v>
      </c>
    </row>
    <row r="1052" spans="1:13">
      <c r="A1052" t="str">
        <f t="shared" si="80"/>
        <v>就実大学3051男</v>
      </c>
      <c r="B1052" s="149" t="s">
        <v>3074</v>
      </c>
      <c r="C1052" s="149">
        <v>3051</v>
      </c>
      <c r="D1052" s="149" t="s">
        <v>3081</v>
      </c>
      <c r="E1052" s="149" t="s">
        <v>3082</v>
      </c>
      <c r="F1052" s="149" t="s">
        <v>265</v>
      </c>
      <c r="G1052" s="149" t="s">
        <v>143</v>
      </c>
      <c r="H1052" s="151" t="str">
        <f t="shared" si="81"/>
        <v>1994/10/31</v>
      </c>
      <c r="I1052" s="149" t="s">
        <v>299</v>
      </c>
      <c r="J1052" s="149" t="s">
        <v>348</v>
      </c>
      <c r="K1052" s="101" t="str">
        <f t="shared" si="82"/>
        <v>94</v>
      </c>
      <c r="L1052" s="101" t="str">
        <f t="shared" si="83"/>
        <v>10</v>
      </c>
      <c r="M1052" s="101" t="str">
        <f t="shared" si="84"/>
        <v>31</v>
      </c>
    </row>
    <row r="1053" spans="1:13">
      <c r="A1053" t="str">
        <f t="shared" si="80"/>
        <v>就実大学3052男</v>
      </c>
      <c r="B1053" s="149" t="s">
        <v>3074</v>
      </c>
      <c r="C1053" s="149">
        <v>3052</v>
      </c>
      <c r="D1053" s="149" t="s">
        <v>3083</v>
      </c>
      <c r="E1053" s="149" t="s">
        <v>3084</v>
      </c>
      <c r="F1053" s="149" t="s">
        <v>265</v>
      </c>
      <c r="G1053" s="149" t="s">
        <v>143</v>
      </c>
      <c r="H1053" s="151" t="str">
        <f t="shared" si="81"/>
        <v>1994/09/07</v>
      </c>
      <c r="I1053" s="149" t="s">
        <v>299</v>
      </c>
      <c r="J1053" s="149" t="s">
        <v>3933</v>
      </c>
      <c r="K1053" s="101" t="str">
        <f t="shared" si="82"/>
        <v>94</v>
      </c>
      <c r="L1053" s="101" t="str">
        <f t="shared" si="83"/>
        <v>09</v>
      </c>
      <c r="M1053" s="101" t="str">
        <f t="shared" si="84"/>
        <v>07</v>
      </c>
    </row>
    <row r="1054" spans="1:13">
      <c r="A1054" t="str">
        <f t="shared" si="80"/>
        <v>就実大学3053男</v>
      </c>
      <c r="B1054" s="149" t="s">
        <v>3074</v>
      </c>
      <c r="C1054" s="149">
        <v>3053</v>
      </c>
      <c r="D1054" s="149" t="s">
        <v>3085</v>
      </c>
      <c r="E1054" s="149" t="s">
        <v>3086</v>
      </c>
      <c r="F1054" s="149" t="s">
        <v>280</v>
      </c>
      <c r="G1054" s="149" t="s">
        <v>143</v>
      </c>
      <c r="H1054" s="151" t="str">
        <f t="shared" si="81"/>
        <v>1997/01/31</v>
      </c>
      <c r="I1054" s="149" t="s">
        <v>299</v>
      </c>
      <c r="J1054" s="149" t="s">
        <v>828</v>
      </c>
      <c r="K1054" s="101" t="str">
        <f t="shared" si="82"/>
        <v>97</v>
      </c>
      <c r="L1054" s="101" t="str">
        <f t="shared" si="83"/>
        <v>01</v>
      </c>
      <c r="M1054" s="101" t="str">
        <f t="shared" si="84"/>
        <v>31</v>
      </c>
    </row>
    <row r="1055" spans="1:13">
      <c r="A1055" t="str">
        <f t="shared" si="80"/>
        <v>岡山商科大学3054男</v>
      </c>
      <c r="B1055" s="149" t="s">
        <v>1187</v>
      </c>
      <c r="C1055" s="149">
        <v>3054</v>
      </c>
      <c r="D1055" s="149" t="s">
        <v>3087</v>
      </c>
      <c r="E1055" s="149" t="s">
        <v>3088</v>
      </c>
      <c r="F1055" s="149" t="s">
        <v>280</v>
      </c>
      <c r="G1055" s="149" t="s">
        <v>143</v>
      </c>
      <c r="H1055" s="151" t="str">
        <f t="shared" si="81"/>
        <v>1997/01/30</v>
      </c>
      <c r="I1055" s="149" t="s">
        <v>299</v>
      </c>
      <c r="J1055" s="149" t="s">
        <v>836</v>
      </c>
      <c r="K1055" s="101" t="str">
        <f t="shared" si="82"/>
        <v>97</v>
      </c>
      <c r="L1055" s="101" t="str">
        <f t="shared" si="83"/>
        <v>01</v>
      </c>
      <c r="M1055" s="101" t="str">
        <f t="shared" si="84"/>
        <v>30</v>
      </c>
    </row>
    <row r="1056" spans="1:13">
      <c r="A1056" t="str">
        <f t="shared" si="80"/>
        <v>岡山商科大学3055男</v>
      </c>
      <c r="B1056" s="149" t="s">
        <v>1187</v>
      </c>
      <c r="C1056" s="149">
        <v>3055</v>
      </c>
      <c r="D1056" s="149" t="s">
        <v>3089</v>
      </c>
      <c r="E1056" s="149" t="s">
        <v>3090</v>
      </c>
      <c r="F1056" s="149" t="s">
        <v>280</v>
      </c>
      <c r="G1056" s="149" t="s">
        <v>143</v>
      </c>
      <c r="H1056" s="151" t="str">
        <f t="shared" si="81"/>
        <v>1996/05/04</v>
      </c>
      <c r="I1056" s="149" t="s">
        <v>299</v>
      </c>
      <c r="J1056" s="149" t="s">
        <v>3934</v>
      </c>
      <c r="K1056" s="101" t="str">
        <f t="shared" si="82"/>
        <v>96</v>
      </c>
      <c r="L1056" s="101" t="str">
        <f t="shared" si="83"/>
        <v>05</v>
      </c>
      <c r="M1056" s="101" t="str">
        <f t="shared" si="84"/>
        <v>04</v>
      </c>
    </row>
    <row r="1057" spans="1:13">
      <c r="A1057" t="str">
        <f t="shared" si="80"/>
        <v>岡山商科大学3056男</v>
      </c>
      <c r="B1057" s="149" t="s">
        <v>1187</v>
      </c>
      <c r="C1057" s="149">
        <v>3056</v>
      </c>
      <c r="D1057" s="149" t="s">
        <v>3091</v>
      </c>
      <c r="E1057" s="149" t="s">
        <v>3092</v>
      </c>
      <c r="F1057" s="149" t="s">
        <v>280</v>
      </c>
      <c r="G1057" s="149" t="s">
        <v>143</v>
      </c>
      <c r="H1057" s="151" t="str">
        <f t="shared" si="81"/>
        <v>1996/04/04</v>
      </c>
      <c r="I1057" s="149" t="s">
        <v>302</v>
      </c>
      <c r="J1057" s="149" t="s">
        <v>3935</v>
      </c>
      <c r="K1057" s="101" t="str">
        <f t="shared" si="82"/>
        <v>96</v>
      </c>
      <c r="L1057" s="101" t="str">
        <f t="shared" si="83"/>
        <v>04</v>
      </c>
      <c r="M1057" s="101" t="str">
        <f t="shared" si="84"/>
        <v>04</v>
      </c>
    </row>
    <row r="1058" spans="1:13">
      <c r="A1058" t="str">
        <f t="shared" si="80"/>
        <v>岡山商科大学3057男</v>
      </c>
      <c r="B1058" s="149" t="s">
        <v>1187</v>
      </c>
      <c r="C1058" s="149">
        <v>3057</v>
      </c>
      <c r="D1058" s="149" t="s">
        <v>3093</v>
      </c>
      <c r="E1058" s="149" t="s">
        <v>3094</v>
      </c>
      <c r="F1058" s="149" t="s">
        <v>280</v>
      </c>
      <c r="G1058" s="149" t="s">
        <v>143</v>
      </c>
      <c r="H1058" s="151" t="str">
        <f t="shared" si="81"/>
        <v>1996/09/30</v>
      </c>
      <c r="I1058" s="149" t="s">
        <v>269</v>
      </c>
      <c r="J1058" s="149" t="s">
        <v>733</v>
      </c>
      <c r="K1058" s="101" t="str">
        <f t="shared" si="82"/>
        <v>96</v>
      </c>
      <c r="L1058" s="101" t="str">
        <f t="shared" si="83"/>
        <v>09</v>
      </c>
      <c r="M1058" s="101" t="str">
        <f t="shared" si="84"/>
        <v>30</v>
      </c>
    </row>
    <row r="1059" spans="1:13">
      <c r="A1059" t="str">
        <f t="shared" si="80"/>
        <v>岡山商科大学3058男</v>
      </c>
      <c r="B1059" s="149" t="s">
        <v>1187</v>
      </c>
      <c r="C1059" s="149">
        <v>3058</v>
      </c>
      <c r="D1059" s="149" t="s">
        <v>3095</v>
      </c>
      <c r="E1059" s="149" t="s">
        <v>3096</v>
      </c>
      <c r="F1059" s="149" t="s">
        <v>280</v>
      </c>
      <c r="G1059" s="149" t="s">
        <v>143</v>
      </c>
      <c r="H1059" s="151" t="str">
        <f t="shared" si="81"/>
        <v>1996/05/21</v>
      </c>
      <c r="I1059" s="149" t="s">
        <v>301</v>
      </c>
      <c r="J1059" s="149" t="s">
        <v>3936</v>
      </c>
      <c r="K1059" s="101" t="str">
        <f t="shared" si="82"/>
        <v>96</v>
      </c>
      <c r="L1059" s="101" t="str">
        <f t="shared" si="83"/>
        <v>05</v>
      </c>
      <c r="M1059" s="101" t="str">
        <f t="shared" si="84"/>
        <v>21</v>
      </c>
    </row>
    <row r="1060" spans="1:13">
      <c r="A1060" t="str">
        <f t="shared" si="80"/>
        <v>岡山商科大学3059男</v>
      </c>
      <c r="B1060" s="149" t="s">
        <v>1187</v>
      </c>
      <c r="C1060" s="149">
        <v>3059</v>
      </c>
      <c r="D1060" s="149" t="s">
        <v>3097</v>
      </c>
      <c r="E1060" s="149" t="s">
        <v>3098</v>
      </c>
      <c r="F1060" s="149" t="s">
        <v>280</v>
      </c>
      <c r="G1060" s="149" t="s">
        <v>143</v>
      </c>
      <c r="H1060" s="151" t="str">
        <f t="shared" si="81"/>
        <v>1996/09/16</v>
      </c>
      <c r="I1060" s="149" t="s">
        <v>269</v>
      </c>
      <c r="J1060" s="149" t="s">
        <v>3937</v>
      </c>
      <c r="K1060" s="101" t="str">
        <f t="shared" si="82"/>
        <v>96</v>
      </c>
      <c r="L1060" s="101" t="str">
        <f t="shared" si="83"/>
        <v>09</v>
      </c>
      <c r="M1060" s="101" t="str">
        <f t="shared" si="84"/>
        <v>16</v>
      </c>
    </row>
    <row r="1061" spans="1:13">
      <c r="A1061" t="str">
        <f t="shared" si="80"/>
        <v>岡山商科大学3060男</v>
      </c>
      <c r="B1061" s="149" t="s">
        <v>1187</v>
      </c>
      <c r="C1061" s="149">
        <v>3060</v>
      </c>
      <c r="D1061" s="149" t="s">
        <v>3099</v>
      </c>
      <c r="E1061" s="149" t="s">
        <v>3100</v>
      </c>
      <c r="F1061" s="149" t="s">
        <v>280</v>
      </c>
      <c r="G1061" s="149" t="s">
        <v>143</v>
      </c>
      <c r="H1061" s="151" t="str">
        <f t="shared" si="81"/>
        <v>1996/09/26</v>
      </c>
      <c r="I1061" s="149" t="s">
        <v>263</v>
      </c>
      <c r="J1061" s="149" t="s">
        <v>824</v>
      </c>
      <c r="K1061" s="101" t="str">
        <f t="shared" si="82"/>
        <v>96</v>
      </c>
      <c r="L1061" s="101" t="str">
        <f t="shared" si="83"/>
        <v>09</v>
      </c>
      <c r="M1061" s="101" t="str">
        <f t="shared" si="84"/>
        <v>26</v>
      </c>
    </row>
    <row r="1062" spans="1:13">
      <c r="A1062" t="str">
        <f t="shared" si="80"/>
        <v>岡山商科大学3061男</v>
      </c>
      <c r="B1062" s="149" t="s">
        <v>1187</v>
      </c>
      <c r="C1062" s="149">
        <v>3061</v>
      </c>
      <c r="D1062" s="149" t="s">
        <v>3101</v>
      </c>
      <c r="E1062" s="149" t="s">
        <v>3102</v>
      </c>
      <c r="F1062" s="149" t="s">
        <v>280</v>
      </c>
      <c r="G1062" s="149" t="s">
        <v>143</v>
      </c>
      <c r="H1062" s="151" t="str">
        <f t="shared" si="81"/>
        <v>1996/04/17</v>
      </c>
      <c r="I1062" s="149" t="s">
        <v>281</v>
      </c>
      <c r="J1062" s="149" t="s">
        <v>649</v>
      </c>
      <c r="K1062" s="101" t="str">
        <f t="shared" si="82"/>
        <v>96</v>
      </c>
      <c r="L1062" s="101" t="str">
        <f t="shared" si="83"/>
        <v>04</v>
      </c>
      <c r="M1062" s="101" t="str">
        <f t="shared" si="84"/>
        <v>17</v>
      </c>
    </row>
    <row r="1063" spans="1:13">
      <c r="A1063" t="str">
        <f t="shared" si="80"/>
        <v>岡山商科大学3062男</v>
      </c>
      <c r="B1063" s="149" t="s">
        <v>1187</v>
      </c>
      <c r="C1063" s="149">
        <v>3062</v>
      </c>
      <c r="D1063" s="149" t="s">
        <v>3103</v>
      </c>
      <c r="E1063" s="149" t="s">
        <v>3104</v>
      </c>
      <c r="F1063" s="149" t="s">
        <v>280</v>
      </c>
      <c r="G1063" s="149" t="s">
        <v>143</v>
      </c>
      <c r="H1063" s="151" t="str">
        <f t="shared" si="81"/>
        <v>1996/08/04</v>
      </c>
      <c r="I1063" s="149" t="s">
        <v>299</v>
      </c>
      <c r="J1063" s="149" t="s">
        <v>714</v>
      </c>
      <c r="K1063" s="101" t="str">
        <f t="shared" si="82"/>
        <v>96</v>
      </c>
      <c r="L1063" s="101" t="str">
        <f t="shared" si="83"/>
        <v>08</v>
      </c>
      <c r="M1063" s="101" t="str">
        <f t="shared" si="84"/>
        <v>04</v>
      </c>
    </row>
    <row r="1064" spans="1:13">
      <c r="A1064" t="str">
        <f t="shared" si="80"/>
        <v>岡山商科大学3063男</v>
      </c>
      <c r="B1064" s="149" t="s">
        <v>1187</v>
      </c>
      <c r="C1064" s="149">
        <v>3063</v>
      </c>
      <c r="D1064" s="149" t="s">
        <v>3105</v>
      </c>
      <c r="E1064" s="149" t="s">
        <v>3106</v>
      </c>
      <c r="F1064" s="149" t="s">
        <v>280</v>
      </c>
      <c r="G1064" s="149" t="s">
        <v>143</v>
      </c>
      <c r="H1064" s="151" t="str">
        <f t="shared" si="81"/>
        <v>1996/08/14</v>
      </c>
      <c r="I1064" s="149" t="s">
        <v>289</v>
      </c>
      <c r="J1064" s="149" t="s">
        <v>709</v>
      </c>
      <c r="K1064" s="101" t="str">
        <f t="shared" si="82"/>
        <v>96</v>
      </c>
      <c r="L1064" s="101" t="str">
        <f t="shared" si="83"/>
        <v>08</v>
      </c>
      <c r="M1064" s="101" t="str">
        <f t="shared" si="84"/>
        <v>14</v>
      </c>
    </row>
    <row r="1065" spans="1:13">
      <c r="A1065" t="str">
        <f t="shared" si="80"/>
        <v>岡山商科大学3064男</v>
      </c>
      <c r="B1065" s="149" t="s">
        <v>1187</v>
      </c>
      <c r="C1065" s="149">
        <v>3064</v>
      </c>
      <c r="D1065" s="149" t="s">
        <v>3107</v>
      </c>
      <c r="E1065" s="149" t="s">
        <v>3108</v>
      </c>
      <c r="F1065" s="149" t="s">
        <v>280</v>
      </c>
      <c r="G1065" s="149" t="s">
        <v>143</v>
      </c>
      <c r="H1065" s="151" t="str">
        <f t="shared" si="81"/>
        <v>1996/11/13</v>
      </c>
      <c r="I1065" s="149" t="s">
        <v>301</v>
      </c>
      <c r="J1065" s="149" t="s">
        <v>3915</v>
      </c>
      <c r="K1065" s="101" t="str">
        <f t="shared" si="82"/>
        <v>96</v>
      </c>
      <c r="L1065" s="101" t="str">
        <f t="shared" si="83"/>
        <v>11</v>
      </c>
      <c r="M1065" s="101" t="str">
        <f t="shared" si="84"/>
        <v>13</v>
      </c>
    </row>
    <row r="1066" spans="1:13">
      <c r="A1066" t="str">
        <f t="shared" si="80"/>
        <v>岡山商科大学3065男</v>
      </c>
      <c r="B1066" s="149" t="s">
        <v>1187</v>
      </c>
      <c r="C1066" s="149">
        <v>3065</v>
      </c>
      <c r="D1066" s="149" t="s">
        <v>3109</v>
      </c>
      <c r="E1066" s="149" t="s">
        <v>3110</v>
      </c>
      <c r="F1066" s="149" t="s">
        <v>280</v>
      </c>
      <c r="G1066" s="149" t="s">
        <v>143</v>
      </c>
      <c r="H1066" s="151" t="str">
        <f t="shared" si="81"/>
        <v>1996/12/28</v>
      </c>
      <c r="I1066" s="149" t="s">
        <v>289</v>
      </c>
      <c r="J1066" s="149" t="s">
        <v>838</v>
      </c>
      <c r="K1066" s="101" t="str">
        <f t="shared" si="82"/>
        <v>96</v>
      </c>
      <c r="L1066" s="101" t="str">
        <f t="shared" si="83"/>
        <v>12</v>
      </c>
      <c r="M1066" s="101" t="str">
        <f t="shared" si="84"/>
        <v>28</v>
      </c>
    </row>
    <row r="1067" spans="1:13">
      <c r="A1067" t="str">
        <f t="shared" si="80"/>
        <v>岡山商科大学3066男</v>
      </c>
      <c r="B1067" s="149" t="s">
        <v>1187</v>
      </c>
      <c r="C1067" s="149">
        <v>3066</v>
      </c>
      <c r="D1067" s="149" t="s">
        <v>3111</v>
      </c>
      <c r="E1067" s="149" t="s">
        <v>3112</v>
      </c>
      <c r="F1067" s="149" t="s">
        <v>280</v>
      </c>
      <c r="G1067" s="149" t="s">
        <v>143</v>
      </c>
      <c r="H1067" s="151" t="str">
        <f t="shared" si="81"/>
        <v>1996/08/13</v>
      </c>
      <c r="I1067" s="149" t="s">
        <v>302</v>
      </c>
      <c r="J1067" s="149" t="s">
        <v>719</v>
      </c>
      <c r="K1067" s="101" t="str">
        <f t="shared" si="82"/>
        <v>96</v>
      </c>
      <c r="L1067" s="101" t="str">
        <f t="shared" si="83"/>
        <v>08</v>
      </c>
      <c r="M1067" s="101" t="str">
        <f t="shared" si="84"/>
        <v>13</v>
      </c>
    </row>
    <row r="1068" spans="1:13">
      <c r="A1068" t="str">
        <f t="shared" si="80"/>
        <v>岡山商科大学3067男</v>
      </c>
      <c r="B1068" s="149" t="s">
        <v>1187</v>
      </c>
      <c r="C1068" s="149">
        <v>3067</v>
      </c>
      <c r="D1068" s="149" t="s">
        <v>3113</v>
      </c>
      <c r="E1068" s="149" t="s">
        <v>3114</v>
      </c>
      <c r="F1068" s="149" t="s">
        <v>280</v>
      </c>
      <c r="G1068" s="149" t="s">
        <v>143</v>
      </c>
      <c r="H1068" s="151" t="str">
        <f t="shared" si="81"/>
        <v>1996/06/15</v>
      </c>
      <c r="I1068" s="149" t="s">
        <v>281</v>
      </c>
      <c r="J1068" s="149" t="s">
        <v>3938</v>
      </c>
      <c r="K1068" s="101" t="str">
        <f t="shared" si="82"/>
        <v>96</v>
      </c>
      <c r="L1068" s="101" t="str">
        <f t="shared" si="83"/>
        <v>06</v>
      </c>
      <c r="M1068" s="101" t="str">
        <f t="shared" si="84"/>
        <v>15</v>
      </c>
    </row>
    <row r="1069" spans="1:13">
      <c r="A1069" t="str">
        <f t="shared" si="80"/>
        <v>岡山商科大学3068男</v>
      </c>
      <c r="B1069" s="149" t="s">
        <v>1187</v>
      </c>
      <c r="C1069" s="149">
        <v>3068</v>
      </c>
      <c r="D1069" s="149" t="s">
        <v>3115</v>
      </c>
      <c r="E1069" s="149" t="s">
        <v>3116</v>
      </c>
      <c r="F1069" s="149" t="s">
        <v>280</v>
      </c>
      <c r="G1069" s="149" t="s">
        <v>143</v>
      </c>
      <c r="H1069" s="151" t="str">
        <f t="shared" si="81"/>
        <v>1996/12/05</v>
      </c>
      <c r="I1069" s="149" t="s">
        <v>289</v>
      </c>
      <c r="J1069" s="149" t="s">
        <v>812</v>
      </c>
      <c r="K1069" s="101" t="str">
        <f t="shared" si="82"/>
        <v>96</v>
      </c>
      <c r="L1069" s="101" t="str">
        <f t="shared" si="83"/>
        <v>12</v>
      </c>
      <c r="M1069" s="101" t="str">
        <f t="shared" si="84"/>
        <v>05</v>
      </c>
    </row>
    <row r="1070" spans="1:13">
      <c r="A1070" t="str">
        <f t="shared" si="80"/>
        <v>岡山商科大学3069男</v>
      </c>
      <c r="B1070" s="149" t="s">
        <v>1187</v>
      </c>
      <c r="C1070" s="149">
        <v>3069</v>
      </c>
      <c r="D1070" s="149" t="s">
        <v>3117</v>
      </c>
      <c r="E1070" s="149" t="s">
        <v>3118</v>
      </c>
      <c r="F1070" s="149" t="s">
        <v>280</v>
      </c>
      <c r="G1070" s="149" t="s">
        <v>143</v>
      </c>
      <c r="H1070" s="151" t="str">
        <f t="shared" si="81"/>
        <v>1996/06/02</v>
      </c>
      <c r="I1070" s="149" t="s">
        <v>302</v>
      </c>
      <c r="J1070" s="149" t="s">
        <v>752</v>
      </c>
      <c r="K1070" s="101" t="str">
        <f t="shared" si="82"/>
        <v>96</v>
      </c>
      <c r="L1070" s="101" t="str">
        <f t="shared" si="83"/>
        <v>06</v>
      </c>
      <c r="M1070" s="101" t="str">
        <f t="shared" si="84"/>
        <v>02</v>
      </c>
    </row>
    <row r="1071" spans="1:13">
      <c r="A1071" t="str">
        <f t="shared" si="80"/>
        <v>岡山商科大学3070男</v>
      </c>
      <c r="B1071" s="149" t="s">
        <v>1187</v>
      </c>
      <c r="C1071" s="149">
        <v>3070</v>
      </c>
      <c r="D1071" s="149" t="s">
        <v>3119</v>
      </c>
      <c r="E1071" s="149" t="s">
        <v>3120</v>
      </c>
      <c r="F1071" s="149" t="s">
        <v>280</v>
      </c>
      <c r="G1071" s="149" t="s">
        <v>143</v>
      </c>
      <c r="H1071" s="151" t="str">
        <f t="shared" si="81"/>
        <v>1997/03/29</v>
      </c>
      <c r="I1071" s="149" t="s">
        <v>289</v>
      </c>
      <c r="J1071" s="149" t="s">
        <v>3939</v>
      </c>
      <c r="K1071" s="101" t="str">
        <f t="shared" si="82"/>
        <v>97</v>
      </c>
      <c r="L1071" s="101" t="str">
        <f t="shared" si="83"/>
        <v>03</v>
      </c>
      <c r="M1071" s="101" t="str">
        <f t="shared" si="84"/>
        <v>29</v>
      </c>
    </row>
    <row r="1072" spans="1:13">
      <c r="A1072" t="str">
        <f t="shared" si="80"/>
        <v>岡山商科大学3071男</v>
      </c>
      <c r="B1072" s="149" t="s">
        <v>1187</v>
      </c>
      <c r="C1072" s="149">
        <v>3071</v>
      </c>
      <c r="D1072" s="149" t="s">
        <v>3121</v>
      </c>
      <c r="E1072" s="149" t="s">
        <v>3122</v>
      </c>
      <c r="F1072" s="149" t="s">
        <v>280</v>
      </c>
      <c r="G1072" s="149" t="s">
        <v>143</v>
      </c>
      <c r="H1072" s="151" t="str">
        <f t="shared" si="81"/>
        <v>1997/02/28</v>
      </c>
      <c r="I1072" s="149" t="s">
        <v>299</v>
      </c>
      <c r="J1072" s="149" t="s">
        <v>3940</v>
      </c>
      <c r="K1072" s="101" t="str">
        <f t="shared" si="82"/>
        <v>97</v>
      </c>
      <c r="L1072" s="101" t="str">
        <f t="shared" si="83"/>
        <v>02</v>
      </c>
      <c r="M1072" s="101" t="str">
        <f t="shared" si="84"/>
        <v>28</v>
      </c>
    </row>
    <row r="1073" spans="1:13">
      <c r="A1073" t="str">
        <f t="shared" si="80"/>
        <v>岡山商科大学3072男</v>
      </c>
      <c r="B1073" s="149" t="s">
        <v>1187</v>
      </c>
      <c r="C1073" s="149">
        <v>3072</v>
      </c>
      <c r="D1073" s="149" t="s">
        <v>3123</v>
      </c>
      <c r="E1073" s="149" t="s">
        <v>3124</v>
      </c>
      <c r="F1073" s="149" t="s">
        <v>280</v>
      </c>
      <c r="G1073" s="149" t="s">
        <v>143</v>
      </c>
      <c r="H1073" s="151" t="str">
        <f t="shared" si="81"/>
        <v>1996/04/02</v>
      </c>
      <c r="I1073" s="149" t="s">
        <v>299</v>
      </c>
      <c r="J1073" s="149" t="s">
        <v>757</v>
      </c>
      <c r="K1073" s="101" t="str">
        <f t="shared" si="82"/>
        <v>96</v>
      </c>
      <c r="L1073" s="101" t="str">
        <f t="shared" si="83"/>
        <v>04</v>
      </c>
      <c r="M1073" s="101" t="str">
        <f t="shared" si="84"/>
        <v>02</v>
      </c>
    </row>
    <row r="1074" spans="1:13">
      <c r="A1074" t="str">
        <f t="shared" si="80"/>
        <v>岡山商科大学3073男</v>
      </c>
      <c r="B1074" s="149" t="s">
        <v>1187</v>
      </c>
      <c r="C1074" s="149">
        <v>3073</v>
      </c>
      <c r="D1074" s="149" t="s">
        <v>3125</v>
      </c>
      <c r="E1074" s="149" t="s">
        <v>3126</v>
      </c>
      <c r="F1074" s="149" t="s">
        <v>280</v>
      </c>
      <c r="G1074" s="149" t="s">
        <v>143</v>
      </c>
      <c r="H1074" s="151" t="str">
        <f t="shared" si="81"/>
        <v>1996/07/13</v>
      </c>
      <c r="I1074" s="149" t="s">
        <v>289</v>
      </c>
      <c r="J1074" s="149" t="s">
        <v>647</v>
      </c>
      <c r="K1074" s="101" t="str">
        <f t="shared" si="82"/>
        <v>96</v>
      </c>
      <c r="L1074" s="101" t="str">
        <f t="shared" si="83"/>
        <v>07</v>
      </c>
      <c r="M1074" s="101" t="str">
        <f t="shared" si="84"/>
        <v>13</v>
      </c>
    </row>
    <row r="1075" spans="1:13">
      <c r="A1075" t="str">
        <f t="shared" si="80"/>
        <v>岡山商科大学3074男</v>
      </c>
      <c r="B1075" s="149" t="s">
        <v>1187</v>
      </c>
      <c r="C1075" s="149">
        <v>3074</v>
      </c>
      <c r="D1075" s="149" t="s">
        <v>3127</v>
      </c>
      <c r="E1075" s="149" t="s">
        <v>3128</v>
      </c>
      <c r="F1075" s="149" t="s">
        <v>280</v>
      </c>
      <c r="G1075" s="149" t="s">
        <v>143</v>
      </c>
      <c r="H1075" s="151" t="str">
        <f t="shared" si="81"/>
        <v>1996/11/16</v>
      </c>
      <c r="I1075" s="149" t="s">
        <v>301</v>
      </c>
      <c r="J1075" s="149" t="s">
        <v>948</v>
      </c>
      <c r="K1075" s="101" t="str">
        <f t="shared" si="82"/>
        <v>96</v>
      </c>
      <c r="L1075" s="101" t="str">
        <f t="shared" si="83"/>
        <v>11</v>
      </c>
      <c r="M1075" s="101" t="str">
        <f t="shared" si="84"/>
        <v>16</v>
      </c>
    </row>
    <row r="1076" spans="1:13">
      <c r="A1076" t="str">
        <f t="shared" si="80"/>
        <v>岡山商科大学3075男</v>
      </c>
      <c r="B1076" s="149" t="s">
        <v>1187</v>
      </c>
      <c r="C1076" s="149">
        <v>3075</v>
      </c>
      <c r="D1076" s="149" t="s">
        <v>3129</v>
      </c>
      <c r="E1076" s="149" t="s">
        <v>3130</v>
      </c>
      <c r="F1076" s="149" t="s">
        <v>280</v>
      </c>
      <c r="G1076" s="149" t="s">
        <v>143</v>
      </c>
      <c r="H1076" s="151" t="str">
        <f t="shared" si="81"/>
        <v>1997/02/27</v>
      </c>
      <c r="I1076" s="149" t="s">
        <v>302</v>
      </c>
      <c r="J1076" s="149" t="s">
        <v>3941</v>
      </c>
      <c r="K1076" s="101" t="str">
        <f t="shared" si="82"/>
        <v>97</v>
      </c>
      <c r="L1076" s="101" t="str">
        <f t="shared" si="83"/>
        <v>02</v>
      </c>
      <c r="M1076" s="101" t="str">
        <f t="shared" si="84"/>
        <v>27</v>
      </c>
    </row>
    <row r="1077" spans="1:13">
      <c r="A1077" t="str">
        <f t="shared" si="80"/>
        <v>倉敷芸術科学大学3076男</v>
      </c>
      <c r="B1077" s="149" t="s">
        <v>1119</v>
      </c>
      <c r="C1077" s="149">
        <v>3076</v>
      </c>
      <c r="D1077" s="149" t="s">
        <v>3131</v>
      </c>
      <c r="E1077" s="149" t="s">
        <v>3132</v>
      </c>
      <c r="F1077" s="149" t="s">
        <v>260</v>
      </c>
      <c r="G1077" s="149" t="s">
        <v>143</v>
      </c>
      <c r="H1077" s="151" t="str">
        <f t="shared" si="81"/>
        <v>1993/04/21</v>
      </c>
      <c r="I1077" s="149" t="s">
        <v>299</v>
      </c>
      <c r="J1077" s="149" t="s">
        <v>324</v>
      </c>
      <c r="K1077" s="101" t="str">
        <f t="shared" si="82"/>
        <v>93</v>
      </c>
      <c r="L1077" s="101" t="str">
        <f t="shared" si="83"/>
        <v>04</v>
      </c>
      <c r="M1077" s="101" t="str">
        <f t="shared" si="84"/>
        <v>21</v>
      </c>
    </row>
    <row r="1078" spans="1:13">
      <c r="A1078" t="str">
        <f t="shared" si="80"/>
        <v>倉敷芸術科学大学3077男</v>
      </c>
      <c r="B1078" s="149" t="s">
        <v>1119</v>
      </c>
      <c r="C1078" s="149">
        <v>3077</v>
      </c>
      <c r="D1078" s="149" t="s">
        <v>3133</v>
      </c>
      <c r="E1078" s="149" t="s">
        <v>3134</v>
      </c>
      <c r="F1078" s="149" t="s">
        <v>267</v>
      </c>
      <c r="G1078" s="149" t="s">
        <v>143</v>
      </c>
      <c r="H1078" s="151" t="str">
        <f t="shared" si="81"/>
        <v>1996/03/05</v>
      </c>
      <c r="I1078" s="149" t="s">
        <v>299</v>
      </c>
      <c r="J1078" s="149" t="s">
        <v>619</v>
      </c>
      <c r="K1078" s="101" t="str">
        <f t="shared" si="82"/>
        <v>96</v>
      </c>
      <c r="L1078" s="101" t="str">
        <f t="shared" si="83"/>
        <v>03</v>
      </c>
      <c r="M1078" s="101" t="str">
        <f t="shared" si="84"/>
        <v>05</v>
      </c>
    </row>
    <row r="1079" spans="1:13">
      <c r="A1079" t="str">
        <f t="shared" si="80"/>
        <v>倉敷芸術科学大学3078男</v>
      </c>
      <c r="B1079" s="149" t="s">
        <v>1119</v>
      </c>
      <c r="C1079" s="149">
        <v>3078</v>
      </c>
      <c r="D1079" s="149" t="s">
        <v>3135</v>
      </c>
      <c r="E1079" s="149" t="s">
        <v>3136</v>
      </c>
      <c r="F1079" s="149" t="s">
        <v>280</v>
      </c>
      <c r="G1079" s="149" t="s">
        <v>143</v>
      </c>
      <c r="H1079" s="151" t="str">
        <f t="shared" si="81"/>
        <v>1996/12/01</v>
      </c>
      <c r="I1079" s="149" t="s">
        <v>299</v>
      </c>
      <c r="J1079" s="149" t="s">
        <v>392</v>
      </c>
      <c r="K1079" s="101" t="str">
        <f t="shared" si="82"/>
        <v>96</v>
      </c>
      <c r="L1079" s="101" t="str">
        <f t="shared" si="83"/>
        <v>12</v>
      </c>
      <c r="M1079" s="101" t="str">
        <f t="shared" si="84"/>
        <v>01</v>
      </c>
    </row>
    <row r="1080" spans="1:13">
      <c r="A1080" t="str">
        <f t="shared" si="80"/>
        <v>倉敷芸術科学大学3079男</v>
      </c>
      <c r="B1080" s="149" t="s">
        <v>1119</v>
      </c>
      <c r="C1080" s="149">
        <v>3079</v>
      </c>
      <c r="D1080" s="149" t="s">
        <v>3137</v>
      </c>
      <c r="E1080" s="149" t="s">
        <v>3138</v>
      </c>
      <c r="F1080" s="149" t="s">
        <v>280</v>
      </c>
      <c r="G1080" s="149" t="s">
        <v>143</v>
      </c>
      <c r="H1080" s="151" t="str">
        <f t="shared" si="81"/>
        <v>1996/10/25</v>
      </c>
      <c r="I1080" s="149" t="s">
        <v>299</v>
      </c>
      <c r="J1080" s="149" t="s">
        <v>827</v>
      </c>
      <c r="K1080" s="101" t="str">
        <f t="shared" si="82"/>
        <v>96</v>
      </c>
      <c r="L1080" s="101" t="str">
        <f t="shared" si="83"/>
        <v>10</v>
      </c>
      <c r="M1080" s="101" t="str">
        <f t="shared" si="84"/>
        <v>25</v>
      </c>
    </row>
    <row r="1081" spans="1:13">
      <c r="A1081" t="str">
        <f t="shared" si="80"/>
        <v>倉敷芸術科学大学3080男</v>
      </c>
      <c r="B1081" s="149" t="s">
        <v>1119</v>
      </c>
      <c r="C1081" s="149">
        <v>3080</v>
      </c>
      <c r="D1081" s="149" t="s">
        <v>3139</v>
      </c>
      <c r="E1081" s="149" t="s">
        <v>3140</v>
      </c>
      <c r="F1081" s="149" t="s">
        <v>280</v>
      </c>
      <c r="G1081" s="149" t="s">
        <v>143</v>
      </c>
      <c r="H1081" s="151" t="str">
        <f t="shared" si="81"/>
        <v>1996/08/27</v>
      </c>
      <c r="I1081" s="149" t="s">
        <v>299</v>
      </c>
      <c r="J1081" s="149" t="s">
        <v>739</v>
      </c>
      <c r="K1081" s="101" t="str">
        <f t="shared" si="82"/>
        <v>96</v>
      </c>
      <c r="L1081" s="101" t="str">
        <f t="shared" si="83"/>
        <v>08</v>
      </c>
      <c r="M1081" s="101" t="str">
        <f t="shared" si="84"/>
        <v>27</v>
      </c>
    </row>
    <row r="1082" spans="1:13">
      <c r="A1082" t="str">
        <f t="shared" si="80"/>
        <v>倉敷芸術科学大学3081男</v>
      </c>
      <c r="B1082" s="149" t="s">
        <v>1119</v>
      </c>
      <c r="C1082" s="149">
        <v>3081</v>
      </c>
      <c r="D1082" s="149" t="s">
        <v>1188</v>
      </c>
      <c r="E1082" s="149" t="s">
        <v>1189</v>
      </c>
      <c r="F1082" s="149" t="s">
        <v>280</v>
      </c>
      <c r="G1082" s="149" t="s">
        <v>143</v>
      </c>
      <c r="H1082" s="151" t="str">
        <f t="shared" si="81"/>
        <v>1996/04/24</v>
      </c>
      <c r="I1082" s="149" t="s">
        <v>299</v>
      </c>
      <c r="J1082" s="149" t="s">
        <v>815</v>
      </c>
      <c r="K1082" s="101" t="str">
        <f t="shared" si="82"/>
        <v>96</v>
      </c>
      <c r="L1082" s="101" t="str">
        <f t="shared" si="83"/>
        <v>04</v>
      </c>
      <c r="M1082" s="101" t="str">
        <f t="shared" si="84"/>
        <v>24</v>
      </c>
    </row>
    <row r="1083" spans="1:13">
      <c r="A1083" t="str">
        <f t="shared" si="80"/>
        <v>倉敷芸術科学大学3082男</v>
      </c>
      <c r="B1083" s="149" t="s">
        <v>1119</v>
      </c>
      <c r="C1083" s="149">
        <v>3082</v>
      </c>
      <c r="D1083" s="149" t="s">
        <v>3141</v>
      </c>
      <c r="E1083" s="149" t="s">
        <v>3142</v>
      </c>
      <c r="F1083" s="149" t="s">
        <v>280</v>
      </c>
      <c r="G1083" s="149" t="s">
        <v>143</v>
      </c>
      <c r="H1083" s="151" t="str">
        <f t="shared" si="81"/>
        <v>1996/09/15</v>
      </c>
      <c r="I1083" s="149" t="s">
        <v>299</v>
      </c>
      <c r="J1083" s="149" t="s">
        <v>3942</v>
      </c>
      <c r="K1083" s="101" t="str">
        <f t="shared" si="82"/>
        <v>96</v>
      </c>
      <c r="L1083" s="101" t="str">
        <f t="shared" si="83"/>
        <v>09</v>
      </c>
      <c r="M1083" s="101" t="str">
        <f t="shared" si="84"/>
        <v>15</v>
      </c>
    </row>
    <row r="1084" spans="1:13">
      <c r="A1084" t="str">
        <f t="shared" si="80"/>
        <v>倉敷芸術科学大学3083男</v>
      </c>
      <c r="B1084" s="149" t="s">
        <v>1119</v>
      </c>
      <c r="C1084" s="149">
        <v>3083</v>
      </c>
      <c r="D1084" s="149" t="s">
        <v>3143</v>
      </c>
      <c r="E1084" s="149" t="s">
        <v>3144</v>
      </c>
      <c r="F1084" s="149" t="s">
        <v>280</v>
      </c>
      <c r="G1084" s="149" t="s">
        <v>143</v>
      </c>
      <c r="H1084" s="151" t="str">
        <f t="shared" si="81"/>
        <v>1996/09/19</v>
      </c>
      <c r="I1084" s="149" t="s">
        <v>299</v>
      </c>
      <c r="J1084" s="149" t="s">
        <v>415</v>
      </c>
      <c r="K1084" s="101" t="str">
        <f t="shared" si="82"/>
        <v>96</v>
      </c>
      <c r="L1084" s="101" t="str">
        <f t="shared" si="83"/>
        <v>09</v>
      </c>
      <c r="M1084" s="101" t="str">
        <f t="shared" si="84"/>
        <v>19</v>
      </c>
    </row>
    <row r="1085" spans="1:13">
      <c r="A1085" t="str">
        <f t="shared" si="80"/>
        <v>倉敷芸術科学大学3084男</v>
      </c>
      <c r="B1085" s="149" t="s">
        <v>1119</v>
      </c>
      <c r="C1085" s="149">
        <v>3084</v>
      </c>
      <c r="D1085" s="149" t="s">
        <v>3145</v>
      </c>
      <c r="E1085" s="149" t="s">
        <v>3146</v>
      </c>
      <c r="F1085" s="149" t="s">
        <v>280</v>
      </c>
      <c r="G1085" s="149" t="s">
        <v>143</v>
      </c>
      <c r="H1085" s="151" t="str">
        <f t="shared" si="81"/>
        <v>1997/02/10</v>
      </c>
      <c r="I1085" s="149" t="s">
        <v>299</v>
      </c>
      <c r="J1085" s="149" t="s">
        <v>653</v>
      </c>
      <c r="K1085" s="101" t="str">
        <f t="shared" si="82"/>
        <v>97</v>
      </c>
      <c r="L1085" s="101" t="str">
        <f t="shared" si="83"/>
        <v>02</v>
      </c>
      <c r="M1085" s="101" t="str">
        <f t="shared" si="84"/>
        <v>10</v>
      </c>
    </row>
    <row r="1086" spans="1:13">
      <c r="A1086" t="str">
        <f t="shared" si="80"/>
        <v>倉敷芸術科学大学3085男</v>
      </c>
      <c r="B1086" s="149" t="s">
        <v>1119</v>
      </c>
      <c r="C1086" s="149">
        <v>3085</v>
      </c>
      <c r="D1086" s="149" t="s">
        <v>3147</v>
      </c>
      <c r="E1086" s="149" t="s">
        <v>3148</v>
      </c>
      <c r="F1086" s="149" t="s">
        <v>280</v>
      </c>
      <c r="G1086" s="149" t="s">
        <v>143</v>
      </c>
      <c r="H1086" s="151" t="str">
        <f t="shared" si="81"/>
        <v>1996/09/12</v>
      </c>
      <c r="I1086" s="149" t="s">
        <v>299</v>
      </c>
      <c r="J1086" s="149" t="s">
        <v>939</v>
      </c>
      <c r="K1086" s="101" t="str">
        <f t="shared" si="82"/>
        <v>96</v>
      </c>
      <c r="L1086" s="101" t="str">
        <f t="shared" si="83"/>
        <v>09</v>
      </c>
      <c r="M1086" s="101" t="str">
        <f t="shared" si="84"/>
        <v>12</v>
      </c>
    </row>
    <row r="1087" spans="1:13">
      <c r="A1087" t="str">
        <f t="shared" si="80"/>
        <v>倉敷芸術科学大学3086男</v>
      </c>
      <c r="B1087" s="149" t="s">
        <v>1119</v>
      </c>
      <c r="C1087" s="149">
        <v>3086</v>
      </c>
      <c r="D1087" s="149" t="s">
        <v>3149</v>
      </c>
      <c r="E1087" s="149" t="s">
        <v>3150</v>
      </c>
      <c r="F1087" s="149" t="s">
        <v>280</v>
      </c>
      <c r="G1087" s="149" t="s">
        <v>143</v>
      </c>
      <c r="H1087" s="151" t="str">
        <f t="shared" si="81"/>
        <v>1996/12/19</v>
      </c>
      <c r="I1087" s="149" t="s">
        <v>299</v>
      </c>
      <c r="J1087" s="149" t="s">
        <v>701</v>
      </c>
      <c r="K1087" s="101" t="str">
        <f t="shared" si="82"/>
        <v>96</v>
      </c>
      <c r="L1087" s="101" t="str">
        <f t="shared" si="83"/>
        <v>12</v>
      </c>
      <c r="M1087" s="101" t="str">
        <f t="shared" si="84"/>
        <v>19</v>
      </c>
    </row>
    <row r="1088" spans="1:13">
      <c r="A1088" t="str">
        <f t="shared" si="80"/>
        <v>倉敷芸術科学大学3087男</v>
      </c>
      <c r="B1088" s="149" t="s">
        <v>1119</v>
      </c>
      <c r="C1088" s="149">
        <v>3087</v>
      </c>
      <c r="D1088" s="149" t="s">
        <v>3151</v>
      </c>
      <c r="E1088" s="149" t="s">
        <v>3152</v>
      </c>
      <c r="F1088" s="149" t="s">
        <v>280</v>
      </c>
      <c r="G1088" s="149" t="s">
        <v>143</v>
      </c>
      <c r="H1088" s="151" t="str">
        <f t="shared" si="81"/>
        <v>1996/08/05</v>
      </c>
      <c r="I1088" s="149" t="s">
        <v>299</v>
      </c>
      <c r="J1088" s="149" t="s">
        <v>3923</v>
      </c>
      <c r="K1088" s="101" t="str">
        <f t="shared" si="82"/>
        <v>96</v>
      </c>
      <c r="L1088" s="101" t="str">
        <f t="shared" si="83"/>
        <v>08</v>
      </c>
      <c r="M1088" s="101" t="str">
        <f t="shared" si="84"/>
        <v>05</v>
      </c>
    </row>
    <row r="1089" spans="1:13">
      <c r="A1089" t="str">
        <f t="shared" si="80"/>
        <v>山口大学3088男</v>
      </c>
      <c r="B1089" s="149" t="s">
        <v>1311</v>
      </c>
      <c r="C1089" s="149">
        <v>3088</v>
      </c>
      <c r="D1089" s="149" t="s">
        <v>3153</v>
      </c>
      <c r="E1089" s="149" t="s">
        <v>3154</v>
      </c>
      <c r="F1089" s="149" t="s">
        <v>280</v>
      </c>
      <c r="G1089" s="149" t="s">
        <v>143</v>
      </c>
      <c r="H1089" s="151" t="str">
        <f t="shared" si="81"/>
        <v>1996/10/11</v>
      </c>
      <c r="I1089" s="149" t="s">
        <v>269</v>
      </c>
      <c r="J1089" s="149" t="s">
        <v>942</v>
      </c>
      <c r="K1089" s="101" t="str">
        <f t="shared" si="82"/>
        <v>96</v>
      </c>
      <c r="L1089" s="101" t="str">
        <f t="shared" si="83"/>
        <v>10</v>
      </c>
      <c r="M1089" s="101" t="str">
        <f t="shared" si="84"/>
        <v>11</v>
      </c>
    </row>
    <row r="1090" spans="1:13">
      <c r="A1090" t="str">
        <f t="shared" ref="A1090:A1153" si="85">B1090&amp;C1090&amp;G1090</f>
        <v>山口大学3089男</v>
      </c>
      <c r="B1090" s="149" t="s">
        <v>1311</v>
      </c>
      <c r="C1090" s="149">
        <v>3089</v>
      </c>
      <c r="D1090" s="149" t="s">
        <v>3155</v>
      </c>
      <c r="E1090" s="149" t="s">
        <v>3156</v>
      </c>
      <c r="F1090" s="149" t="s">
        <v>280</v>
      </c>
      <c r="G1090" s="149" t="s">
        <v>143</v>
      </c>
      <c r="H1090" s="151" t="str">
        <f t="shared" si="81"/>
        <v>1997/03/24</v>
      </c>
      <c r="I1090" s="149" t="s">
        <v>269</v>
      </c>
      <c r="J1090" s="149" t="s">
        <v>3943</v>
      </c>
      <c r="K1090" s="101" t="str">
        <f t="shared" si="82"/>
        <v>97</v>
      </c>
      <c r="L1090" s="101" t="str">
        <f t="shared" si="83"/>
        <v>03</v>
      </c>
      <c r="M1090" s="101" t="str">
        <f t="shared" si="84"/>
        <v>24</v>
      </c>
    </row>
    <row r="1091" spans="1:13">
      <c r="A1091" t="str">
        <f t="shared" si="85"/>
        <v>山口大学3090男</v>
      </c>
      <c r="B1091" s="149" t="s">
        <v>1311</v>
      </c>
      <c r="C1091" s="149">
        <v>3090</v>
      </c>
      <c r="D1091" s="149" t="s">
        <v>3157</v>
      </c>
      <c r="E1091" s="149" t="s">
        <v>3158</v>
      </c>
      <c r="F1091" s="149" t="s">
        <v>280</v>
      </c>
      <c r="G1091" s="149" t="s">
        <v>143</v>
      </c>
      <c r="H1091" s="151" t="str">
        <f t="shared" ref="H1091:H1154" si="86">"19"&amp;K1091&amp;"/"&amp;L1091&amp;"/"&amp;M1091</f>
        <v>1996/12/31</v>
      </c>
      <c r="I1091" s="149" t="s">
        <v>269</v>
      </c>
      <c r="J1091" s="149" t="s">
        <v>3944</v>
      </c>
      <c r="K1091" s="101" t="str">
        <f t="shared" ref="K1091:K1154" si="87">MID(J1091,1,2)</f>
        <v>96</v>
      </c>
      <c r="L1091" s="101" t="str">
        <f t="shared" ref="L1091:L1154" si="88">MID(J1091,3,2)</f>
        <v>12</v>
      </c>
      <c r="M1091" s="101" t="str">
        <f t="shared" ref="M1091:M1154" si="89">MID(J1091,5,2)</f>
        <v>31</v>
      </c>
    </row>
    <row r="1092" spans="1:13">
      <c r="A1092" t="str">
        <f t="shared" si="85"/>
        <v>吉備国際大学3091男</v>
      </c>
      <c r="B1092" s="149" t="s">
        <v>2017</v>
      </c>
      <c r="C1092" s="149">
        <v>3091</v>
      </c>
      <c r="D1092" s="149" t="s">
        <v>3159</v>
      </c>
      <c r="E1092" s="149" t="s">
        <v>3160</v>
      </c>
      <c r="F1092" s="149" t="s">
        <v>280</v>
      </c>
      <c r="G1092" s="149" t="s">
        <v>143</v>
      </c>
      <c r="H1092" s="151" t="str">
        <f t="shared" si="86"/>
        <v>1996/07/30</v>
      </c>
      <c r="I1092" s="149" t="s">
        <v>303</v>
      </c>
      <c r="J1092" s="149" t="s">
        <v>3945</v>
      </c>
      <c r="K1092" s="101" t="str">
        <f t="shared" si="87"/>
        <v>96</v>
      </c>
      <c r="L1092" s="101" t="str">
        <f t="shared" si="88"/>
        <v>07</v>
      </c>
      <c r="M1092" s="101" t="str">
        <f t="shared" si="89"/>
        <v>30</v>
      </c>
    </row>
    <row r="1093" spans="1:13">
      <c r="A1093" t="str">
        <f t="shared" si="85"/>
        <v>島根大学3092男</v>
      </c>
      <c r="B1093" s="149" t="s">
        <v>1062</v>
      </c>
      <c r="C1093" s="149">
        <v>3092</v>
      </c>
      <c r="D1093" s="149" t="s">
        <v>3161</v>
      </c>
      <c r="E1093" s="149" t="s">
        <v>3162</v>
      </c>
      <c r="F1093" s="149" t="s">
        <v>280</v>
      </c>
      <c r="G1093" s="149" t="s">
        <v>143</v>
      </c>
      <c r="H1093" s="151" t="str">
        <f t="shared" si="86"/>
        <v>1996/12/02</v>
      </c>
      <c r="I1093" s="149" t="s">
        <v>302</v>
      </c>
      <c r="J1093" s="149" t="s">
        <v>3946</v>
      </c>
      <c r="K1093" s="101" t="str">
        <f t="shared" si="87"/>
        <v>96</v>
      </c>
      <c r="L1093" s="101" t="str">
        <f t="shared" si="88"/>
        <v>12</v>
      </c>
      <c r="M1093" s="101" t="str">
        <f t="shared" si="89"/>
        <v>02</v>
      </c>
    </row>
    <row r="1094" spans="1:13">
      <c r="A1094" t="str">
        <f t="shared" si="85"/>
        <v>島根大学3093男</v>
      </c>
      <c r="B1094" s="149" t="s">
        <v>1062</v>
      </c>
      <c r="C1094" s="149">
        <v>3093</v>
      </c>
      <c r="D1094" s="149" t="s">
        <v>3163</v>
      </c>
      <c r="E1094" s="149" t="s">
        <v>3164</v>
      </c>
      <c r="F1094" s="149" t="s">
        <v>280</v>
      </c>
      <c r="G1094" s="149" t="s">
        <v>143</v>
      </c>
      <c r="H1094" s="151" t="str">
        <f t="shared" si="86"/>
        <v>1996/08/30</v>
      </c>
      <c r="I1094" s="149" t="s">
        <v>301</v>
      </c>
      <c r="J1094" s="149" t="s">
        <v>704</v>
      </c>
      <c r="K1094" s="101" t="str">
        <f t="shared" si="87"/>
        <v>96</v>
      </c>
      <c r="L1094" s="101" t="str">
        <f t="shared" si="88"/>
        <v>08</v>
      </c>
      <c r="M1094" s="101" t="str">
        <f t="shared" si="89"/>
        <v>30</v>
      </c>
    </row>
    <row r="1095" spans="1:13">
      <c r="A1095" t="str">
        <f t="shared" si="85"/>
        <v>島根大学3094男</v>
      </c>
      <c r="B1095" s="149" t="s">
        <v>1062</v>
      </c>
      <c r="C1095" s="149">
        <v>3094</v>
      </c>
      <c r="D1095" s="149" t="s">
        <v>3165</v>
      </c>
      <c r="E1095" s="149" t="s">
        <v>3166</v>
      </c>
      <c r="F1095" s="149" t="s">
        <v>280</v>
      </c>
      <c r="G1095" s="149" t="s">
        <v>143</v>
      </c>
      <c r="H1095" s="151" t="str">
        <f t="shared" si="86"/>
        <v>1996/10/16</v>
      </c>
      <c r="I1095" s="149" t="s">
        <v>301</v>
      </c>
      <c r="J1095" s="149" t="s">
        <v>652</v>
      </c>
      <c r="K1095" s="101" t="str">
        <f t="shared" si="87"/>
        <v>96</v>
      </c>
      <c r="L1095" s="101" t="str">
        <f t="shared" si="88"/>
        <v>10</v>
      </c>
      <c r="M1095" s="101" t="str">
        <f t="shared" si="89"/>
        <v>16</v>
      </c>
    </row>
    <row r="1096" spans="1:13">
      <c r="A1096" t="str">
        <f t="shared" si="85"/>
        <v>島根大学3095男</v>
      </c>
      <c r="B1096" s="149" t="s">
        <v>1062</v>
      </c>
      <c r="C1096" s="149">
        <v>3095</v>
      </c>
      <c r="D1096" s="149" t="s">
        <v>3167</v>
      </c>
      <c r="E1096" s="149" t="s">
        <v>3168</v>
      </c>
      <c r="F1096" s="149" t="s">
        <v>280</v>
      </c>
      <c r="G1096" s="149" t="s">
        <v>143</v>
      </c>
      <c r="H1096" s="151" t="str">
        <f t="shared" si="86"/>
        <v>1996/10/25</v>
      </c>
      <c r="I1096" s="149" t="s">
        <v>301</v>
      </c>
      <c r="J1096" s="149" t="s">
        <v>827</v>
      </c>
      <c r="K1096" s="101" t="str">
        <f t="shared" si="87"/>
        <v>96</v>
      </c>
      <c r="L1096" s="101" t="str">
        <f t="shared" si="88"/>
        <v>10</v>
      </c>
      <c r="M1096" s="101" t="str">
        <f t="shared" si="89"/>
        <v>25</v>
      </c>
    </row>
    <row r="1097" spans="1:13">
      <c r="A1097" t="str">
        <f t="shared" si="85"/>
        <v>島根大学3096男</v>
      </c>
      <c r="B1097" s="149" t="s">
        <v>1062</v>
      </c>
      <c r="C1097" s="149">
        <v>3096</v>
      </c>
      <c r="D1097" s="149" t="s">
        <v>3169</v>
      </c>
      <c r="E1097" s="149" t="s">
        <v>3170</v>
      </c>
      <c r="F1097" s="149" t="s">
        <v>280</v>
      </c>
      <c r="G1097" s="149" t="s">
        <v>143</v>
      </c>
      <c r="H1097" s="151" t="str">
        <f t="shared" si="86"/>
        <v>1996/08/31</v>
      </c>
      <c r="I1097" s="149" t="s">
        <v>301</v>
      </c>
      <c r="J1097" s="149" t="s">
        <v>3947</v>
      </c>
      <c r="K1097" s="101" t="str">
        <f t="shared" si="87"/>
        <v>96</v>
      </c>
      <c r="L1097" s="101" t="str">
        <f t="shared" si="88"/>
        <v>08</v>
      </c>
      <c r="M1097" s="101" t="str">
        <f t="shared" si="89"/>
        <v>31</v>
      </c>
    </row>
    <row r="1098" spans="1:13">
      <c r="A1098" t="str">
        <f t="shared" si="85"/>
        <v>島根大学3097男</v>
      </c>
      <c r="B1098" s="149" t="s">
        <v>1062</v>
      </c>
      <c r="C1098" s="149">
        <v>3097</v>
      </c>
      <c r="D1098" s="149" t="s">
        <v>3171</v>
      </c>
      <c r="E1098" s="149" t="s">
        <v>3172</v>
      </c>
      <c r="F1098" s="149" t="s">
        <v>280</v>
      </c>
      <c r="G1098" s="149" t="s">
        <v>143</v>
      </c>
      <c r="H1098" s="151" t="str">
        <f t="shared" si="86"/>
        <v>1995/08/06</v>
      </c>
      <c r="I1098" s="149" t="s">
        <v>302</v>
      </c>
      <c r="J1098" s="149" t="s">
        <v>914</v>
      </c>
      <c r="K1098" s="101" t="str">
        <f t="shared" si="87"/>
        <v>95</v>
      </c>
      <c r="L1098" s="101" t="str">
        <f t="shared" si="88"/>
        <v>08</v>
      </c>
      <c r="M1098" s="101" t="str">
        <f t="shared" si="89"/>
        <v>06</v>
      </c>
    </row>
    <row r="1099" spans="1:13">
      <c r="A1099" t="str">
        <f t="shared" si="85"/>
        <v>川崎医療福祉大学3098男</v>
      </c>
      <c r="B1099" s="149" t="s">
        <v>2176</v>
      </c>
      <c r="C1099" s="149">
        <v>3098</v>
      </c>
      <c r="D1099" s="149" t="s">
        <v>3173</v>
      </c>
      <c r="E1099" s="149" t="s">
        <v>3174</v>
      </c>
      <c r="F1099" s="149" t="s">
        <v>280</v>
      </c>
      <c r="G1099" s="149" t="s">
        <v>143</v>
      </c>
      <c r="H1099" s="151" t="str">
        <f t="shared" si="86"/>
        <v>1996/08/01</v>
      </c>
      <c r="I1099" s="149" t="s">
        <v>299</v>
      </c>
      <c r="J1099" s="149" t="s">
        <v>3948</v>
      </c>
      <c r="K1099" s="101" t="str">
        <f t="shared" si="87"/>
        <v>96</v>
      </c>
      <c r="L1099" s="101" t="str">
        <f t="shared" si="88"/>
        <v>08</v>
      </c>
      <c r="M1099" s="101" t="str">
        <f t="shared" si="89"/>
        <v>01</v>
      </c>
    </row>
    <row r="1100" spans="1:13">
      <c r="A1100" t="str">
        <f t="shared" si="85"/>
        <v>川崎医療福祉大学3099男</v>
      </c>
      <c r="B1100" s="149" t="s">
        <v>2176</v>
      </c>
      <c r="C1100" s="149">
        <v>3099</v>
      </c>
      <c r="D1100" s="149" t="s">
        <v>3175</v>
      </c>
      <c r="E1100" s="149" t="s">
        <v>3176</v>
      </c>
      <c r="F1100" s="149" t="s">
        <v>280</v>
      </c>
      <c r="G1100" s="149" t="s">
        <v>143</v>
      </c>
      <c r="H1100" s="151" t="str">
        <f t="shared" si="86"/>
        <v>1996/06/22</v>
      </c>
      <c r="I1100" s="149" t="s">
        <v>299</v>
      </c>
      <c r="J1100" s="149" t="s">
        <v>923</v>
      </c>
      <c r="K1100" s="101" t="str">
        <f t="shared" si="87"/>
        <v>96</v>
      </c>
      <c r="L1100" s="101" t="str">
        <f t="shared" si="88"/>
        <v>06</v>
      </c>
      <c r="M1100" s="101" t="str">
        <f t="shared" si="89"/>
        <v>22</v>
      </c>
    </row>
    <row r="1101" spans="1:13">
      <c r="A1101" t="str">
        <f t="shared" si="85"/>
        <v>川崎医療福祉大学3100男</v>
      </c>
      <c r="B1101" s="149" t="s">
        <v>2176</v>
      </c>
      <c r="C1101" s="149">
        <v>3100</v>
      </c>
      <c r="D1101" s="149" t="s">
        <v>3177</v>
      </c>
      <c r="E1101" s="149" t="s">
        <v>317</v>
      </c>
      <c r="F1101" s="149" t="s">
        <v>280</v>
      </c>
      <c r="G1101" s="149" t="s">
        <v>143</v>
      </c>
      <c r="H1101" s="151" t="str">
        <f t="shared" si="86"/>
        <v>1996/11/19</v>
      </c>
      <c r="I1101" s="149" t="s">
        <v>299</v>
      </c>
      <c r="J1101" s="149" t="s">
        <v>651</v>
      </c>
      <c r="K1101" s="101" t="str">
        <f t="shared" si="87"/>
        <v>96</v>
      </c>
      <c r="L1101" s="101" t="str">
        <f t="shared" si="88"/>
        <v>11</v>
      </c>
      <c r="M1101" s="101" t="str">
        <f t="shared" si="89"/>
        <v>19</v>
      </c>
    </row>
    <row r="1102" spans="1:13">
      <c r="A1102" t="str">
        <f t="shared" si="85"/>
        <v>川崎医療福祉大学3101男</v>
      </c>
      <c r="B1102" s="149" t="s">
        <v>2176</v>
      </c>
      <c r="C1102" s="149">
        <v>3101</v>
      </c>
      <c r="D1102" s="149" t="s">
        <v>3178</v>
      </c>
      <c r="E1102" s="149" t="s">
        <v>3179</v>
      </c>
      <c r="F1102" s="149" t="s">
        <v>280</v>
      </c>
      <c r="G1102" s="149" t="s">
        <v>143</v>
      </c>
      <c r="H1102" s="151" t="str">
        <f t="shared" si="86"/>
        <v>1996/05/23</v>
      </c>
      <c r="I1102" s="149" t="s">
        <v>299</v>
      </c>
      <c r="J1102" s="149" t="s">
        <v>3949</v>
      </c>
      <c r="K1102" s="101" t="str">
        <f t="shared" si="87"/>
        <v>96</v>
      </c>
      <c r="L1102" s="101" t="str">
        <f t="shared" si="88"/>
        <v>05</v>
      </c>
      <c r="M1102" s="101" t="str">
        <f t="shared" si="89"/>
        <v>23</v>
      </c>
    </row>
    <row r="1103" spans="1:13">
      <c r="A1103" t="str">
        <f t="shared" si="85"/>
        <v>大島商船高等専門学校3102男</v>
      </c>
      <c r="B1103" s="149" t="s">
        <v>1986</v>
      </c>
      <c r="C1103" s="149">
        <v>3102</v>
      </c>
      <c r="D1103" s="149" t="s">
        <v>3180</v>
      </c>
      <c r="E1103" s="149" t="s">
        <v>3181</v>
      </c>
      <c r="F1103" s="149" t="s">
        <v>280</v>
      </c>
      <c r="G1103" s="149" t="s">
        <v>143</v>
      </c>
      <c r="H1103" s="151" t="str">
        <f t="shared" si="86"/>
        <v>1996/06/27</v>
      </c>
      <c r="I1103" s="149" t="s">
        <v>269</v>
      </c>
      <c r="J1103" s="149" t="s">
        <v>718</v>
      </c>
      <c r="K1103" s="101" t="str">
        <f t="shared" si="87"/>
        <v>96</v>
      </c>
      <c r="L1103" s="101" t="str">
        <f t="shared" si="88"/>
        <v>06</v>
      </c>
      <c r="M1103" s="101" t="str">
        <f t="shared" si="89"/>
        <v>27</v>
      </c>
    </row>
    <row r="1104" spans="1:13">
      <c r="A1104" t="str">
        <f t="shared" si="85"/>
        <v>徳島大学3103男</v>
      </c>
      <c r="B1104" s="149" t="s">
        <v>2345</v>
      </c>
      <c r="C1104" s="149">
        <v>3103</v>
      </c>
      <c r="D1104" s="149" t="s">
        <v>3182</v>
      </c>
      <c r="E1104" s="149" t="s">
        <v>3183</v>
      </c>
      <c r="F1104" s="149" t="s">
        <v>3626</v>
      </c>
      <c r="G1104" s="149" t="s">
        <v>143</v>
      </c>
      <c r="H1104" s="151" t="str">
        <f t="shared" si="86"/>
        <v>1993/05/09</v>
      </c>
      <c r="I1104" s="149" t="s">
        <v>276</v>
      </c>
      <c r="J1104" s="149" t="s">
        <v>3909</v>
      </c>
      <c r="K1104" s="101" t="str">
        <f t="shared" si="87"/>
        <v>93</v>
      </c>
      <c r="L1104" s="101" t="str">
        <f t="shared" si="88"/>
        <v>05</v>
      </c>
      <c r="M1104" s="101" t="str">
        <f t="shared" si="89"/>
        <v>09</v>
      </c>
    </row>
    <row r="1105" spans="1:13">
      <c r="A1105" t="str">
        <f t="shared" si="85"/>
        <v>徳島大学3104男</v>
      </c>
      <c r="B1105" s="149" t="s">
        <v>2345</v>
      </c>
      <c r="C1105" s="149">
        <v>3104</v>
      </c>
      <c r="D1105" s="149" t="s">
        <v>3184</v>
      </c>
      <c r="E1105" s="149" t="s">
        <v>3185</v>
      </c>
      <c r="F1105" s="149" t="s">
        <v>267</v>
      </c>
      <c r="G1105" s="149" t="s">
        <v>143</v>
      </c>
      <c r="H1105" s="151" t="str">
        <f t="shared" si="86"/>
        <v>1995/11/24</v>
      </c>
      <c r="I1105" s="149" t="s">
        <v>276</v>
      </c>
      <c r="J1105" s="149" t="s">
        <v>497</v>
      </c>
      <c r="K1105" s="101" t="str">
        <f t="shared" si="87"/>
        <v>95</v>
      </c>
      <c r="L1105" s="101" t="str">
        <f t="shared" si="88"/>
        <v>11</v>
      </c>
      <c r="M1105" s="101" t="str">
        <f t="shared" si="89"/>
        <v>24</v>
      </c>
    </row>
    <row r="1106" spans="1:13">
      <c r="A1106" t="str">
        <f t="shared" si="85"/>
        <v>徳島大学3105男</v>
      </c>
      <c r="B1106" s="149" t="s">
        <v>2345</v>
      </c>
      <c r="C1106" s="149">
        <v>3105</v>
      </c>
      <c r="D1106" s="149" t="s">
        <v>3186</v>
      </c>
      <c r="E1106" s="149" t="s">
        <v>3187</v>
      </c>
      <c r="F1106" s="149" t="s">
        <v>280</v>
      </c>
      <c r="G1106" s="149" t="s">
        <v>143</v>
      </c>
      <c r="H1106" s="151" t="str">
        <f t="shared" si="86"/>
        <v>1996/09/03</v>
      </c>
      <c r="I1106" s="149" t="s">
        <v>276</v>
      </c>
      <c r="J1106" s="149" t="s">
        <v>3950</v>
      </c>
      <c r="K1106" s="101" t="str">
        <f t="shared" si="87"/>
        <v>96</v>
      </c>
      <c r="L1106" s="101" t="str">
        <f t="shared" si="88"/>
        <v>09</v>
      </c>
      <c r="M1106" s="101" t="str">
        <f t="shared" si="89"/>
        <v>03</v>
      </c>
    </row>
    <row r="1107" spans="1:13">
      <c r="A1107" t="str">
        <f t="shared" si="85"/>
        <v>徳島大学3106男</v>
      </c>
      <c r="B1107" s="149" t="s">
        <v>2345</v>
      </c>
      <c r="C1107" s="149">
        <v>3106</v>
      </c>
      <c r="D1107" s="149" t="s">
        <v>3188</v>
      </c>
      <c r="E1107" s="149" t="s">
        <v>3189</v>
      </c>
      <c r="F1107" s="149" t="s">
        <v>293</v>
      </c>
      <c r="G1107" s="149" t="s">
        <v>143</v>
      </c>
      <c r="H1107" s="151" t="str">
        <f t="shared" si="86"/>
        <v>1991/02/16</v>
      </c>
      <c r="I1107" s="149" t="s">
        <v>276</v>
      </c>
      <c r="J1107" s="149" t="s">
        <v>3951</v>
      </c>
      <c r="K1107" s="101" t="str">
        <f t="shared" si="87"/>
        <v>91</v>
      </c>
      <c r="L1107" s="101" t="str">
        <f t="shared" si="88"/>
        <v>02</v>
      </c>
      <c r="M1107" s="101" t="str">
        <f t="shared" si="89"/>
        <v>16</v>
      </c>
    </row>
    <row r="1108" spans="1:13">
      <c r="A1108" t="str">
        <f t="shared" si="85"/>
        <v>徳島大学3107男</v>
      </c>
      <c r="B1108" s="149" t="s">
        <v>2345</v>
      </c>
      <c r="C1108" s="149">
        <v>3107</v>
      </c>
      <c r="D1108" s="149" t="s">
        <v>3190</v>
      </c>
      <c r="E1108" s="149" t="s">
        <v>3191</v>
      </c>
      <c r="F1108" s="149" t="s">
        <v>264</v>
      </c>
      <c r="G1108" s="149" t="s">
        <v>143</v>
      </c>
      <c r="H1108" s="151" t="str">
        <f t="shared" si="86"/>
        <v>1992/05/20</v>
      </c>
      <c r="I1108" s="149" t="s">
        <v>276</v>
      </c>
      <c r="J1108" s="149" t="s">
        <v>3952</v>
      </c>
      <c r="K1108" s="101" t="str">
        <f t="shared" si="87"/>
        <v>92</v>
      </c>
      <c r="L1108" s="101" t="str">
        <f t="shared" si="88"/>
        <v>05</v>
      </c>
      <c r="M1108" s="101" t="str">
        <f t="shared" si="89"/>
        <v>20</v>
      </c>
    </row>
    <row r="1109" spans="1:13">
      <c r="A1109" t="str">
        <f t="shared" si="85"/>
        <v>徳島大学3108男</v>
      </c>
      <c r="B1109" s="149" t="s">
        <v>2345</v>
      </c>
      <c r="C1109" s="149">
        <v>3108</v>
      </c>
      <c r="D1109" s="149" t="s">
        <v>3192</v>
      </c>
      <c r="E1109" s="149" t="s">
        <v>3193</v>
      </c>
      <c r="F1109" s="149" t="s">
        <v>280</v>
      </c>
      <c r="G1109" s="149" t="s">
        <v>143</v>
      </c>
      <c r="H1109" s="151" t="str">
        <f t="shared" si="86"/>
        <v>1996/05/03</v>
      </c>
      <c r="I1109" s="149" t="s">
        <v>276</v>
      </c>
      <c r="J1109" s="149" t="s">
        <v>3953</v>
      </c>
      <c r="K1109" s="101" t="str">
        <f t="shared" si="87"/>
        <v>96</v>
      </c>
      <c r="L1109" s="101" t="str">
        <f t="shared" si="88"/>
        <v>05</v>
      </c>
      <c r="M1109" s="101" t="str">
        <f t="shared" si="89"/>
        <v>03</v>
      </c>
    </row>
    <row r="1110" spans="1:13">
      <c r="A1110" t="str">
        <f t="shared" si="85"/>
        <v>徳島大学3109男</v>
      </c>
      <c r="B1110" s="149" t="s">
        <v>2345</v>
      </c>
      <c r="C1110" s="149">
        <v>3109</v>
      </c>
      <c r="D1110" s="149" t="s">
        <v>3194</v>
      </c>
      <c r="E1110" s="149" t="s">
        <v>3195</v>
      </c>
      <c r="F1110" s="149" t="s">
        <v>280</v>
      </c>
      <c r="G1110" s="149" t="s">
        <v>143</v>
      </c>
      <c r="H1110" s="151" t="str">
        <f t="shared" si="86"/>
        <v>1996/04/13</v>
      </c>
      <c r="I1110" s="149" t="s">
        <v>276</v>
      </c>
      <c r="J1110" s="149" t="s">
        <v>735</v>
      </c>
      <c r="K1110" s="101" t="str">
        <f t="shared" si="87"/>
        <v>96</v>
      </c>
      <c r="L1110" s="101" t="str">
        <f t="shared" si="88"/>
        <v>04</v>
      </c>
      <c r="M1110" s="101" t="str">
        <f t="shared" si="89"/>
        <v>13</v>
      </c>
    </row>
    <row r="1111" spans="1:13">
      <c r="A1111" t="str">
        <f t="shared" si="85"/>
        <v>徳島大学3110男</v>
      </c>
      <c r="B1111" s="149" t="s">
        <v>2345</v>
      </c>
      <c r="C1111" s="149">
        <v>3110</v>
      </c>
      <c r="D1111" s="149" t="s">
        <v>3196</v>
      </c>
      <c r="E1111" s="149" t="s">
        <v>3197</v>
      </c>
      <c r="F1111" s="149" t="s">
        <v>267</v>
      </c>
      <c r="G1111" s="149" t="s">
        <v>143</v>
      </c>
      <c r="H1111" s="151" t="str">
        <f t="shared" si="86"/>
        <v>1995/06/30</v>
      </c>
      <c r="I1111" s="149" t="s">
        <v>276</v>
      </c>
      <c r="J1111" s="149" t="s">
        <v>495</v>
      </c>
      <c r="K1111" s="101" t="str">
        <f t="shared" si="87"/>
        <v>95</v>
      </c>
      <c r="L1111" s="101" t="str">
        <f t="shared" si="88"/>
        <v>06</v>
      </c>
      <c r="M1111" s="101" t="str">
        <f t="shared" si="89"/>
        <v>30</v>
      </c>
    </row>
    <row r="1112" spans="1:13">
      <c r="A1112" t="str">
        <f t="shared" si="85"/>
        <v>徳島大学3111男</v>
      </c>
      <c r="B1112" s="149" t="s">
        <v>2345</v>
      </c>
      <c r="C1112" s="149">
        <v>3111</v>
      </c>
      <c r="D1112" s="149" t="s">
        <v>3198</v>
      </c>
      <c r="E1112" s="149" t="s">
        <v>3199</v>
      </c>
      <c r="F1112" s="149" t="s">
        <v>267</v>
      </c>
      <c r="G1112" s="149" t="s">
        <v>143</v>
      </c>
      <c r="H1112" s="151" t="str">
        <f t="shared" si="86"/>
        <v>1994/08/08</v>
      </c>
      <c r="I1112" s="149" t="s">
        <v>276</v>
      </c>
      <c r="J1112" s="149" t="s">
        <v>583</v>
      </c>
      <c r="K1112" s="101" t="str">
        <f t="shared" si="87"/>
        <v>94</v>
      </c>
      <c r="L1112" s="101" t="str">
        <f t="shared" si="88"/>
        <v>08</v>
      </c>
      <c r="M1112" s="101" t="str">
        <f t="shared" si="89"/>
        <v>08</v>
      </c>
    </row>
    <row r="1113" spans="1:13">
      <c r="A1113" t="str">
        <f t="shared" si="85"/>
        <v>徳島大学3112男</v>
      </c>
      <c r="B1113" s="149" t="s">
        <v>2345</v>
      </c>
      <c r="C1113" s="149">
        <v>3112</v>
      </c>
      <c r="D1113" s="149" t="s">
        <v>3200</v>
      </c>
      <c r="E1113" s="149" t="s">
        <v>3201</v>
      </c>
      <c r="F1113" s="149" t="s">
        <v>260</v>
      </c>
      <c r="G1113" s="149" t="s">
        <v>143</v>
      </c>
      <c r="H1113" s="151" t="str">
        <f t="shared" si="86"/>
        <v>1993/04/13</v>
      </c>
      <c r="I1113" s="149" t="s">
        <v>276</v>
      </c>
      <c r="J1113" s="149" t="s">
        <v>569</v>
      </c>
      <c r="K1113" s="101" t="str">
        <f t="shared" si="87"/>
        <v>93</v>
      </c>
      <c r="L1113" s="101" t="str">
        <f t="shared" si="88"/>
        <v>04</v>
      </c>
      <c r="M1113" s="101" t="str">
        <f t="shared" si="89"/>
        <v>13</v>
      </c>
    </row>
    <row r="1114" spans="1:13">
      <c r="A1114" t="str">
        <f t="shared" si="85"/>
        <v>徳島大学3113男</v>
      </c>
      <c r="B1114" s="149" t="s">
        <v>2345</v>
      </c>
      <c r="C1114" s="149">
        <v>3113</v>
      </c>
      <c r="D1114" s="149" t="s">
        <v>3202</v>
      </c>
      <c r="E1114" s="149" t="s">
        <v>3203</v>
      </c>
      <c r="F1114" s="149" t="s">
        <v>260</v>
      </c>
      <c r="G1114" s="149" t="s">
        <v>143</v>
      </c>
      <c r="H1114" s="151" t="str">
        <f t="shared" si="86"/>
        <v>1989/06/18</v>
      </c>
      <c r="I1114" s="149" t="s">
        <v>276</v>
      </c>
      <c r="J1114" s="149" t="s">
        <v>3954</v>
      </c>
      <c r="K1114" s="101" t="str">
        <f t="shared" si="87"/>
        <v>89</v>
      </c>
      <c r="L1114" s="101" t="str">
        <f t="shared" si="88"/>
        <v>06</v>
      </c>
      <c r="M1114" s="101" t="str">
        <f t="shared" si="89"/>
        <v>18</v>
      </c>
    </row>
    <row r="1115" spans="1:13">
      <c r="A1115" t="str">
        <f t="shared" si="85"/>
        <v>鳥取環境大学3114男</v>
      </c>
      <c r="B1115" s="149" t="s">
        <v>2837</v>
      </c>
      <c r="C1115" s="149">
        <v>3114</v>
      </c>
      <c r="D1115" s="149" t="s">
        <v>3204</v>
      </c>
      <c r="E1115" s="149" t="s">
        <v>3205</v>
      </c>
      <c r="F1115" s="149" t="s">
        <v>280</v>
      </c>
      <c r="G1115" s="149" t="s">
        <v>143</v>
      </c>
      <c r="H1115" s="151" t="str">
        <f t="shared" si="86"/>
        <v>1997/02/07</v>
      </c>
      <c r="I1115" s="149" t="s">
        <v>302</v>
      </c>
      <c r="J1115" s="149" t="s">
        <v>3955</v>
      </c>
      <c r="K1115" s="101" t="str">
        <f t="shared" si="87"/>
        <v>97</v>
      </c>
      <c r="L1115" s="101" t="str">
        <f t="shared" si="88"/>
        <v>02</v>
      </c>
      <c r="M1115" s="101" t="str">
        <f t="shared" si="89"/>
        <v>07</v>
      </c>
    </row>
    <row r="1116" spans="1:13">
      <c r="A1116" t="str">
        <f t="shared" si="85"/>
        <v>鳥取環境大学3115男</v>
      </c>
      <c r="B1116" s="149" t="s">
        <v>2837</v>
      </c>
      <c r="C1116" s="149">
        <v>3115</v>
      </c>
      <c r="D1116" s="149" t="s">
        <v>3206</v>
      </c>
      <c r="E1116" s="149" t="s">
        <v>3207</v>
      </c>
      <c r="F1116" s="149" t="s">
        <v>280</v>
      </c>
      <c r="G1116" s="149" t="s">
        <v>143</v>
      </c>
      <c r="H1116" s="151" t="str">
        <f t="shared" si="86"/>
        <v>1997/01/05</v>
      </c>
      <c r="I1116" s="149" t="s">
        <v>302</v>
      </c>
      <c r="J1116" s="149" t="s">
        <v>3956</v>
      </c>
      <c r="K1116" s="101" t="str">
        <f t="shared" si="87"/>
        <v>97</v>
      </c>
      <c r="L1116" s="101" t="str">
        <f t="shared" si="88"/>
        <v>01</v>
      </c>
      <c r="M1116" s="101" t="str">
        <f t="shared" si="89"/>
        <v>05</v>
      </c>
    </row>
    <row r="1117" spans="1:13">
      <c r="A1117" t="str">
        <f t="shared" si="85"/>
        <v>鳥取環境大学3116男</v>
      </c>
      <c r="B1117" s="149" t="s">
        <v>2837</v>
      </c>
      <c r="C1117" s="149">
        <v>3116</v>
      </c>
      <c r="D1117" s="149" t="s">
        <v>3208</v>
      </c>
      <c r="E1117" s="149" t="s">
        <v>3209</v>
      </c>
      <c r="F1117" s="149" t="s">
        <v>267</v>
      </c>
      <c r="G1117" s="149" t="s">
        <v>143</v>
      </c>
      <c r="H1117" s="151" t="str">
        <f t="shared" si="86"/>
        <v>1997/01/09</v>
      </c>
      <c r="I1117" s="149" t="s">
        <v>302</v>
      </c>
      <c r="J1117" s="149" t="s">
        <v>940</v>
      </c>
      <c r="K1117" s="101" t="str">
        <f t="shared" si="87"/>
        <v>97</v>
      </c>
      <c r="L1117" s="101" t="str">
        <f t="shared" si="88"/>
        <v>01</v>
      </c>
      <c r="M1117" s="101" t="str">
        <f t="shared" si="89"/>
        <v>09</v>
      </c>
    </row>
    <row r="1118" spans="1:13">
      <c r="A1118" t="str">
        <f t="shared" si="85"/>
        <v>美作大学3117男</v>
      </c>
      <c r="B1118" s="149" t="s">
        <v>1727</v>
      </c>
      <c r="C1118" s="149">
        <v>3117</v>
      </c>
      <c r="D1118" s="149" t="s">
        <v>3210</v>
      </c>
      <c r="E1118" s="149" t="s">
        <v>3211</v>
      </c>
      <c r="F1118" s="149" t="s">
        <v>280</v>
      </c>
      <c r="G1118" s="149" t="s">
        <v>143</v>
      </c>
      <c r="H1118" s="151" t="str">
        <f t="shared" si="86"/>
        <v>1996/07/31</v>
      </c>
      <c r="I1118" s="149" t="s">
        <v>277</v>
      </c>
      <c r="J1118" s="149" t="s">
        <v>941</v>
      </c>
      <c r="K1118" s="101" t="str">
        <f t="shared" si="87"/>
        <v>96</v>
      </c>
      <c r="L1118" s="101" t="str">
        <f t="shared" si="88"/>
        <v>07</v>
      </c>
      <c r="M1118" s="101" t="str">
        <f t="shared" si="89"/>
        <v>31</v>
      </c>
    </row>
    <row r="1119" spans="1:13">
      <c r="A1119" t="str">
        <f t="shared" si="85"/>
        <v>美作大学3118男</v>
      </c>
      <c r="B1119" s="149" t="s">
        <v>1727</v>
      </c>
      <c r="C1119" s="149">
        <v>3118</v>
      </c>
      <c r="D1119" s="149" t="s">
        <v>3212</v>
      </c>
      <c r="E1119" s="149" t="s">
        <v>3213</v>
      </c>
      <c r="F1119" s="149" t="s">
        <v>280</v>
      </c>
      <c r="G1119" s="149" t="s">
        <v>143</v>
      </c>
      <c r="H1119" s="151" t="str">
        <f t="shared" si="86"/>
        <v>1997/03/10</v>
      </c>
      <c r="I1119" s="149" t="s">
        <v>263</v>
      </c>
      <c r="J1119" s="149" t="s">
        <v>777</v>
      </c>
      <c r="K1119" s="101" t="str">
        <f t="shared" si="87"/>
        <v>97</v>
      </c>
      <c r="L1119" s="101" t="str">
        <f t="shared" si="88"/>
        <v>03</v>
      </c>
      <c r="M1119" s="101" t="str">
        <f t="shared" si="89"/>
        <v>10</v>
      </c>
    </row>
    <row r="1120" spans="1:13">
      <c r="A1120" t="str">
        <f t="shared" si="85"/>
        <v>環太平洋大学3119男</v>
      </c>
      <c r="B1120" s="149" t="s">
        <v>2618</v>
      </c>
      <c r="C1120" s="149">
        <v>3119</v>
      </c>
      <c r="D1120" s="149" t="s">
        <v>3214</v>
      </c>
      <c r="E1120" s="149" t="s">
        <v>3215</v>
      </c>
      <c r="F1120" s="149" t="s">
        <v>280</v>
      </c>
      <c r="G1120" s="149" t="s">
        <v>143</v>
      </c>
      <c r="H1120" s="151" t="str">
        <f t="shared" si="86"/>
        <v>1997/01/16</v>
      </c>
      <c r="I1120" s="149" t="s">
        <v>295</v>
      </c>
      <c r="J1120" s="149" t="s">
        <v>3634</v>
      </c>
      <c r="K1120" s="101" t="str">
        <f t="shared" si="87"/>
        <v>97</v>
      </c>
      <c r="L1120" s="101" t="str">
        <f t="shared" si="88"/>
        <v>01</v>
      </c>
      <c r="M1120" s="101" t="str">
        <f t="shared" si="89"/>
        <v>16</v>
      </c>
    </row>
    <row r="1121" spans="1:13">
      <c r="A1121" t="str">
        <f t="shared" si="85"/>
        <v>環太平洋大学3120男</v>
      </c>
      <c r="B1121" s="149" t="s">
        <v>2618</v>
      </c>
      <c r="C1121" s="149">
        <v>3120</v>
      </c>
      <c r="D1121" s="149" t="s">
        <v>3216</v>
      </c>
      <c r="E1121" s="149" t="s">
        <v>3217</v>
      </c>
      <c r="F1121" s="149" t="s">
        <v>280</v>
      </c>
      <c r="G1121" s="149" t="s">
        <v>143</v>
      </c>
      <c r="H1121" s="151" t="str">
        <f t="shared" si="86"/>
        <v>1996/06/30</v>
      </c>
      <c r="I1121" s="149" t="s">
        <v>295</v>
      </c>
      <c r="J1121" s="149" t="s">
        <v>3957</v>
      </c>
      <c r="K1121" s="101" t="str">
        <f t="shared" si="87"/>
        <v>96</v>
      </c>
      <c r="L1121" s="101" t="str">
        <f t="shared" si="88"/>
        <v>06</v>
      </c>
      <c r="M1121" s="101" t="str">
        <f t="shared" si="89"/>
        <v>30</v>
      </c>
    </row>
    <row r="1122" spans="1:13">
      <c r="A1122" t="str">
        <f t="shared" si="85"/>
        <v>環太平洋大学3121男</v>
      </c>
      <c r="B1122" s="149" t="s">
        <v>2618</v>
      </c>
      <c r="C1122" s="149">
        <v>3121</v>
      </c>
      <c r="D1122" s="149" t="s">
        <v>3218</v>
      </c>
      <c r="E1122" s="149" t="s">
        <v>3219</v>
      </c>
      <c r="F1122" s="149" t="s">
        <v>280</v>
      </c>
      <c r="G1122" s="149" t="s">
        <v>143</v>
      </c>
      <c r="H1122" s="151" t="str">
        <f t="shared" si="86"/>
        <v>1996/04/22</v>
      </c>
      <c r="I1122" s="149" t="s">
        <v>295</v>
      </c>
      <c r="J1122" s="149" t="s">
        <v>768</v>
      </c>
      <c r="K1122" s="101" t="str">
        <f t="shared" si="87"/>
        <v>96</v>
      </c>
      <c r="L1122" s="101" t="str">
        <f t="shared" si="88"/>
        <v>04</v>
      </c>
      <c r="M1122" s="101" t="str">
        <f t="shared" si="89"/>
        <v>22</v>
      </c>
    </row>
    <row r="1123" spans="1:13">
      <c r="A1123" t="str">
        <f t="shared" si="85"/>
        <v>環太平洋大学3122男</v>
      </c>
      <c r="B1123" s="149" t="s">
        <v>2618</v>
      </c>
      <c r="C1123" s="149">
        <v>3122</v>
      </c>
      <c r="D1123" s="149" t="s">
        <v>3220</v>
      </c>
      <c r="E1123" s="149" t="s">
        <v>3221</v>
      </c>
      <c r="F1123" s="149" t="s">
        <v>280</v>
      </c>
      <c r="G1123" s="149" t="s">
        <v>143</v>
      </c>
      <c r="H1123" s="151" t="str">
        <f t="shared" si="86"/>
        <v>1996/12/20</v>
      </c>
      <c r="I1123" s="149" t="s">
        <v>277</v>
      </c>
      <c r="J1123" s="149" t="s">
        <v>708</v>
      </c>
      <c r="K1123" s="101" t="str">
        <f t="shared" si="87"/>
        <v>96</v>
      </c>
      <c r="L1123" s="101" t="str">
        <f t="shared" si="88"/>
        <v>12</v>
      </c>
      <c r="M1123" s="101" t="str">
        <f t="shared" si="89"/>
        <v>20</v>
      </c>
    </row>
    <row r="1124" spans="1:13">
      <c r="A1124" t="str">
        <f t="shared" si="85"/>
        <v>環太平洋大学3123男</v>
      </c>
      <c r="B1124" s="149" t="s">
        <v>2618</v>
      </c>
      <c r="C1124" s="149">
        <v>3123</v>
      </c>
      <c r="D1124" s="149" t="s">
        <v>3222</v>
      </c>
      <c r="E1124" s="149" t="s">
        <v>1716</v>
      </c>
      <c r="F1124" s="149" t="s">
        <v>280</v>
      </c>
      <c r="G1124" s="149" t="s">
        <v>143</v>
      </c>
      <c r="H1124" s="151" t="str">
        <f t="shared" si="86"/>
        <v>1997/01/14</v>
      </c>
      <c r="I1124" s="149" t="s">
        <v>281</v>
      </c>
      <c r="J1124" s="149" t="s">
        <v>3958</v>
      </c>
      <c r="K1124" s="101" t="str">
        <f t="shared" si="87"/>
        <v>97</v>
      </c>
      <c r="L1124" s="101" t="str">
        <f t="shared" si="88"/>
        <v>01</v>
      </c>
      <c r="M1124" s="101" t="str">
        <f t="shared" si="89"/>
        <v>14</v>
      </c>
    </row>
    <row r="1125" spans="1:13">
      <c r="A1125" t="str">
        <f t="shared" si="85"/>
        <v>環太平洋大学3124男</v>
      </c>
      <c r="B1125" s="149" t="s">
        <v>2618</v>
      </c>
      <c r="C1125" s="149">
        <v>3124</v>
      </c>
      <c r="D1125" s="149" t="s">
        <v>3223</v>
      </c>
      <c r="E1125" s="149" t="s">
        <v>3224</v>
      </c>
      <c r="F1125" s="149" t="s">
        <v>280</v>
      </c>
      <c r="G1125" s="149" t="s">
        <v>143</v>
      </c>
      <c r="H1125" s="151" t="str">
        <f t="shared" si="86"/>
        <v>1996/09/25</v>
      </c>
      <c r="I1125" s="149" t="s">
        <v>287</v>
      </c>
      <c r="J1125" s="149" t="s">
        <v>746</v>
      </c>
      <c r="K1125" s="101" t="str">
        <f t="shared" si="87"/>
        <v>96</v>
      </c>
      <c r="L1125" s="101" t="str">
        <f t="shared" si="88"/>
        <v>09</v>
      </c>
      <c r="M1125" s="101" t="str">
        <f t="shared" si="89"/>
        <v>25</v>
      </c>
    </row>
    <row r="1126" spans="1:13">
      <c r="A1126" t="str">
        <f t="shared" si="85"/>
        <v>環太平洋大学3125男</v>
      </c>
      <c r="B1126" s="149" t="s">
        <v>2618</v>
      </c>
      <c r="C1126" s="149">
        <v>3125</v>
      </c>
      <c r="D1126" s="149" t="s">
        <v>3225</v>
      </c>
      <c r="E1126" s="149" t="s">
        <v>3226</v>
      </c>
      <c r="F1126" s="149" t="s">
        <v>280</v>
      </c>
      <c r="G1126" s="149" t="s">
        <v>143</v>
      </c>
      <c r="H1126" s="151" t="str">
        <f t="shared" si="86"/>
        <v>1996/07/08</v>
      </c>
      <c r="I1126" s="149" t="s">
        <v>277</v>
      </c>
      <c r="J1126" s="149" t="s">
        <v>3959</v>
      </c>
      <c r="K1126" s="101" t="str">
        <f t="shared" si="87"/>
        <v>96</v>
      </c>
      <c r="L1126" s="101" t="str">
        <f t="shared" si="88"/>
        <v>07</v>
      </c>
      <c r="M1126" s="101" t="str">
        <f t="shared" si="89"/>
        <v>08</v>
      </c>
    </row>
    <row r="1127" spans="1:13">
      <c r="A1127" t="str">
        <f t="shared" si="85"/>
        <v>環太平洋大学3126男</v>
      </c>
      <c r="B1127" s="149" t="s">
        <v>2618</v>
      </c>
      <c r="C1127" s="149">
        <v>3126</v>
      </c>
      <c r="D1127" s="149" t="s">
        <v>3227</v>
      </c>
      <c r="E1127" s="149" t="s">
        <v>3228</v>
      </c>
      <c r="F1127" s="149" t="s">
        <v>280</v>
      </c>
      <c r="G1127" s="149" t="s">
        <v>143</v>
      </c>
      <c r="H1127" s="151" t="str">
        <f t="shared" si="86"/>
        <v>1997/02/15</v>
      </c>
      <c r="I1127" s="149" t="s">
        <v>277</v>
      </c>
      <c r="J1127" s="149" t="s">
        <v>944</v>
      </c>
      <c r="K1127" s="101" t="str">
        <f t="shared" si="87"/>
        <v>97</v>
      </c>
      <c r="L1127" s="101" t="str">
        <f t="shared" si="88"/>
        <v>02</v>
      </c>
      <c r="M1127" s="101" t="str">
        <f t="shared" si="89"/>
        <v>15</v>
      </c>
    </row>
    <row r="1128" spans="1:13">
      <c r="A1128" t="str">
        <f t="shared" si="85"/>
        <v>環太平洋大学3127男</v>
      </c>
      <c r="B1128" s="149" t="s">
        <v>2618</v>
      </c>
      <c r="C1128" s="149">
        <v>3127</v>
      </c>
      <c r="D1128" s="149" t="s">
        <v>3229</v>
      </c>
      <c r="E1128" s="149" t="s">
        <v>3230</v>
      </c>
      <c r="F1128" s="149" t="s">
        <v>280</v>
      </c>
      <c r="G1128" s="149" t="s">
        <v>143</v>
      </c>
      <c r="H1128" s="151" t="str">
        <f t="shared" si="86"/>
        <v>1996/05/28</v>
      </c>
      <c r="I1128" s="149" t="s">
        <v>277</v>
      </c>
      <c r="J1128" s="149" t="s">
        <v>912</v>
      </c>
      <c r="K1128" s="101" t="str">
        <f t="shared" si="87"/>
        <v>96</v>
      </c>
      <c r="L1128" s="101" t="str">
        <f t="shared" si="88"/>
        <v>05</v>
      </c>
      <c r="M1128" s="101" t="str">
        <f t="shared" si="89"/>
        <v>28</v>
      </c>
    </row>
    <row r="1129" spans="1:13">
      <c r="A1129" t="str">
        <f t="shared" si="85"/>
        <v>環太平洋大学3128男</v>
      </c>
      <c r="B1129" s="149" t="s">
        <v>2618</v>
      </c>
      <c r="C1129" s="149">
        <v>3128</v>
      </c>
      <c r="D1129" s="149" t="s">
        <v>3231</v>
      </c>
      <c r="E1129" s="149" t="s">
        <v>3232</v>
      </c>
      <c r="F1129" s="149" t="s">
        <v>280</v>
      </c>
      <c r="G1129" s="149" t="s">
        <v>143</v>
      </c>
      <c r="H1129" s="151" t="str">
        <f t="shared" si="86"/>
        <v>1996/08/17</v>
      </c>
      <c r="I1129" s="149" t="s">
        <v>303</v>
      </c>
      <c r="J1129" s="149" t="s">
        <v>3960</v>
      </c>
      <c r="K1129" s="101" t="str">
        <f t="shared" si="87"/>
        <v>96</v>
      </c>
      <c r="L1129" s="101" t="str">
        <f t="shared" si="88"/>
        <v>08</v>
      </c>
      <c r="M1129" s="101" t="str">
        <f t="shared" si="89"/>
        <v>17</v>
      </c>
    </row>
    <row r="1130" spans="1:13">
      <c r="A1130" t="str">
        <f t="shared" si="85"/>
        <v>環太平洋大学3129男</v>
      </c>
      <c r="B1130" s="149" t="s">
        <v>2618</v>
      </c>
      <c r="C1130" s="149">
        <v>3129</v>
      </c>
      <c r="D1130" s="149" t="s">
        <v>3233</v>
      </c>
      <c r="E1130" s="149" t="s">
        <v>3234</v>
      </c>
      <c r="F1130" s="149" t="s">
        <v>280</v>
      </c>
      <c r="G1130" s="149" t="s">
        <v>143</v>
      </c>
      <c r="H1130" s="151" t="str">
        <f t="shared" si="86"/>
        <v>1997/01/07</v>
      </c>
      <c r="I1130" s="149" t="s">
        <v>295</v>
      </c>
      <c r="J1130" s="149" t="s">
        <v>3961</v>
      </c>
      <c r="K1130" s="101" t="str">
        <f t="shared" si="87"/>
        <v>97</v>
      </c>
      <c r="L1130" s="101" t="str">
        <f t="shared" si="88"/>
        <v>01</v>
      </c>
      <c r="M1130" s="101" t="str">
        <f t="shared" si="89"/>
        <v>07</v>
      </c>
    </row>
    <row r="1131" spans="1:13">
      <c r="A1131" t="str">
        <f t="shared" si="85"/>
        <v>環太平洋大学3130男</v>
      </c>
      <c r="B1131" s="149" t="s">
        <v>2618</v>
      </c>
      <c r="C1131" s="149">
        <v>3130</v>
      </c>
      <c r="D1131" s="149" t="s">
        <v>3235</v>
      </c>
      <c r="E1131" s="149" t="s">
        <v>3236</v>
      </c>
      <c r="F1131" s="149" t="s">
        <v>280</v>
      </c>
      <c r="G1131" s="149" t="s">
        <v>143</v>
      </c>
      <c r="H1131" s="151" t="str">
        <f t="shared" si="86"/>
        <v>1996/10/26</v>
      </c>
      <c r="I1131" s="149" t="s">
        <v>299</v>
      </c>
      <c r="J1131" s="149" t="s">
        <v>3962</v>
      </c>
      <c r="K1131" s="101" t="str">
        <f t="shared" si="87"/>
        <v>96</v>
      </c>
      <c r="L1131" s="101" t="str">
        <f t="shared" si="88"/>
        <v>10</v>
      </c>
      <c r="M1131" s="101" t="str">
        <f t="shared" si="89"/>
        <v>26</v>
      </c>
    </row>
    <row r="1132" spans="1:13">
      <c r="A1132" t="str">
        <f t="shared" si="85"/>
        <v>環太平洋大学3131男</v>
      </c>
      <c r="B1132" s="149" t="s">
        <v>2618</v>
      </c>
      <c r="C1132" s="149">
        <v>3131</v>
      </c>
      <c r="D1132" s="149" t="s">
        <v>3237</v>
      </c>
      <c r="E1132" s="149" t="s">
        <v>3238</v>
      </c>
      <c r="F1132" s="149" t="s">
        <v>280</v>
      </c>
      <c r="G1132" s="149" t="s">
        <v>143</v>
      </c>
      <c r="H1132" s="151" t="str">
        <f t="shared" si="86"/>
        <v>1996/06/10</v>
      </c>
      <c r="I1132" s="149" t="s">
        <v>281</v>
      </c>
      <c r="J1132" s="149" t="s">
        <v>3963</v>
      </c>
      <c r="K1132" s="101" t="str">
        <f t="shared" si="87"/>
        <v>96</v>
      </c>
      <c r="L1132" s="101" t="str">
        <f t="shared" si="88"/>
        <v>06</v>
      </c>
      <c r="M1132" s="101" t="str">
        <f t="shared" si="89"/>
        <v>10</v>
      </c>
    </row>
    <row r="1133" spans="1:13">
      <c r="A1133" t="str">
        <f t="shared" si="85"/>
        <v>環太平洋大学3132男</v>
      </c>
      <c r="B1133" s="149" t="s">
        <v>2618</v>
      </c>
      <c r="C1133" s="149">
        <v>3132</v>
      </c>
      <c r="D1133" s="149" t="s">
        <v>3239</v>
      </c>
      <c r="E1133" s="149" t="s">
        <v>3240</v>
      </c>
      <c r="F1133" s="149" t="s">
        <v>280</v>
      </c>
      <c r="G1133" s="149" t="s">
        <v>143</v>
      </c>
      <c r="H1133" s="151" t="str">
        <f t="shared" si="86"/>
        <v>1996/04/29</v>
      </c>
      <c r="I1133" s="149" t="s">
        <v>276</v>
      </c>
      <c r="J1133" s="149" t="s">
        <v>742</v>
      </c>
      <c r="K1133" s="101" t="str">
        <f t="shared" si="87"/>
        <v>96</v>
      </c>
      <c r="L1133" s="101" t="str">
        <f t="shared" si="88"/>
        <v>04</v>
      </c>
      <c r="M1133" s="101" t="str">
        <f t="shared" si="89"/>
        <v>29</v>
      </c>
    </row>
    <row r="1134" spans="1:13">
      <c r="A1134" t="str">
        <f t="shared" si="85"/>
        <v>環太平洋大学3133男</v>
      </c>
      <c r="B1134" s="149" t="s">
        <v>2618</v>
      </c>
      <c r="C1134" s="149">
        <v>3133</v>
      </c>
      <c r="D1134" s="149" t="s">
        <v>3241</v>
      </c>
      <c r="E1134" s="149" t="s">
        <v>3242</v>
      </c>
      <c r="F1134" s="149" t="s">
        <v>280</v>
      </c>
      <c r="G1134" s="149" t="s">
        <v>143</v>
      </c>
      <c r="H1134" s="151" t="str">
        <f t="shared" si="86"/>
        <v>1996/06/02</v>
      </c>
      <c r="I1134" s="149" t="s">
        <v>304</v>
      </c>
      <c r="J1134" s="149" t="s">
        <v>752</v>
      </c>
      <c r="K1134" s="101" t="str">
        <f t="shared" si="87"/>
        <v>96</v>
      </c>
      <c r="L1134" s="101" t="str">
        <f t="shared" si="88"/>
        <v>06</v>
      </c>
      <c r="M1134" s="101" t="str">
        <f t="shared" si="89"/>
        <v>02</v>
      </c>
    </row>
    <row r="1135" spans="1:13">
      <c r="A1135" t="str">
        <f t="shared" si="85"/>
        <v>環太平洋大学3134男</v>
      </c>
      <c r="B1135" s="149" t="s">
        <v>2618</v>
      </c>
      <c r="C1135" s="149">
        <v>3134</v>
      </c>
      <c r="D1135" s="149" t="s">
        <v>3243</v>
      </c>
      <c r="E1135" s="149" t="s">
        <v>3244</v>
      </c>
      <c r="F1135" s="149" t="s">
        <v>280</v>
      </c>
      <c r="G1135" s="149" t="s">
        <v>143</v>
      </c>
      <c r="H1135" s="151" t="str">
        <f t="shared" si="86"/>
        <v>1997/02/15</v>
      </c>
      <c r="I1135" s="149" t="s">
        <v>269</v>
      </c>
      <c r="J1135" s="149" t="s">
        <v>944</v>
      </c>
      <c r="K1135" s="101" t="str">
        <f t="shared" si="87"/>
        <v>97</v>
      </c>
      <c r="L1135" s="101" t="str">
        <f t="shared" si="88"/>
        <v>02</v>
      </c>
      <c r="M1135" s="101" t="str">
        <f t="shared" si="89"/>
        <v>15</v>
      </c>
    </row>
    <row r="1136" spans="1:13">
      <c r="A1136" t="str">
        <f t="shared" si="85"/>
        <v>環太平洋大学3135男</v>
      </c>
      <c r="B1136" s="149" t="s">
        <v>2618</v>
      </c>
      <c r="C1136" s="149">
        <v>3135</v>
      </c>
      <c r="D1136" s="149" t="s">
        <v>3245</v>
      </c>
      <c r="E1136" s="149" t="s">
        <v>3246</v>
      </c>
      <c r="F1136" s="149" t="s">
        <v>280</v>
      </c>
      <c r="G1136" s="149" t="s">
        <v>143</v>
      </c>
      <c r="H1136" s="151" t="str">
        <f t="shared" si="86"/>
        <v>1997/02/19</v>
      </c>
      <c r="I1136" s="149" t="s">
        <v>289</v>
      </c>
      <c r="J1136" s="149" t="s">
        <v>3964</v>
      </c>
      <c r="K1136" s="101" t="str">
        <f t="shared" si="87"/>
        <v>97</v>
      </c>
      <c r="L1136" s="101" t="str">
        <f t="shared" si="88"/>
        <v>02</v>
      </c>
      <c r="M1136" s="101" t="str">
        <f t="shared" si="89"/>
        <v>19</v>
      </c>
    </row>
    <row r="1137" spans="1:13">
      <c r="A1137" t="str">
        <f t="shared" si="85"/>
        <v>環太平洋大学3136男</v>
      </c>
      <c r="B1137" s="149" t="s">
        <v>2618</v>
      </c>
      <c r="C1137" s="149">
        <v>3136</v>
      </c>
      <c r="D1137" s="149" t="s">
        <v>3247</v>
      </c>
      <c r="E1137" s="149" t="s">
        <v>3248</v>
      </c>
      <c r="F1137" s="149" t="s">
        <v>280</v>
      </c>
      <c r="G1137" s="149" t="s">
        <v>143</v>
      </c>
      <c r="H1137" s="151" t="str">
        <f t="shared" si="86"/>
        <v>1997/01/28</v>
      </c>
      <c r="I1137" s="149" t="s">
        <v>301</v>
      </c>
      <c r="J1137" s="149" t="s">
        <v>3965</v>
      </c>
      <c r="K1137" s="101" t="str">
        <f t="shared" si="87"/>
        <v>97</v>
      </c>
      <c r="L1137" s="101" t="str">
        <f t="shared" si="88"/>
        <v>01</v>
      </c>
      <c r="M1137" s="101" t="str">
        <f t="shared" si="89"/>
        <v>28</v>
      </c>
    </row>
    <row r="1138" spans="1:13">
      <c r="A1138" t="str">
        <f t="shared" si="85"/>
        <v>環太平洋大学3137男</v>
      </c>
      <c r="B1138" s="149" t="s">
        <v>2618</v>
      </c>
      <c r="C1138" s="149">
        <v>3137</v>
      </c>
      <c r="D1138" s="149" t="s">
        <v>3249</v>
      </c>
      <c r="E1138" s="149" t="s">
        <v>3250</v>
      </c>
      <c r="F1138" s="149" t="s">
        <v>280</v>
      </c>
      <c r="G1138" s="149" t="s">
        <v>143</v>
      </c>
      <c r="H1138" s="151" t="str">
        <f t="shared" si="86"/>
        <v>1996/04/11</v>
      </c>
      <c r="I1138" s="149" t="s">
        <v>299</v>
      </c>
      <c r="J1138" s="149" t="s">
        <v>764</v>
      </c>
      <c r="K1138" s="101" t="str">
        <f t="shared" si="87"/>
        <v>96</v>
      </c>
      <c r="L1138" s="101" t="str">
        <f t="shared" si="88"/>
        <v>04</v>
      </c>
      <c r="M1138" s="101" t="str">
        <f t="shared" si="89"/>
        <v>11</v>
      </c>
    </row>
    <row r="1139" spans="1:13">
      <c r="A1139" t="str">
        <f t="shared" si="85"/>
        <v>環太平洋大学3138男</v>
      </c>
      <c r="B1139" s="149" t="s">
        <v>2618</v>
      </c>
      <c r="C1139" s="149">
        <v>3138</v>
      </c>
      <c r="D1139" s="149" t="s">
        <v>3251</v>
      </c>
      <c r="E1139" s="149" t="s">
        <v>3252</v>
      </c>
      <c r="F1139" s="149" t="s">
        <v>280</v>
      </c>
      <c r="G1139" s="149" t="s">
        <v>143</v>
      </c>
      <c r="H1139" s="151" t="str">
        <f t="shared" si="86"/>
        <v>1997/01/02</v>
      </c>
      <c r="I1139" s="149" t="s">
        <v>299</v>
      </c>
      <c r="J1139" s="149" t="s">
        <v>3913</v>
      </c>
      <c r="K1139" s="101" t="str">
        <f t="shared" si="87"/>
        <v>97</v>
      </c>
      <c r="L1139" s="101" t="str">
        <f t="shared" si="88"/>
        <v>01</v>
      </c>
      <c r="M1139" s="101" t="str">
        <f t="shared" si="89"/>
        <v>02</v>
      </c>
    </row>
    <row r="1140" spans="1:13">
      <c r="A1140" t="str">
        <f t="shared" si="85"/>
        <v>環太平洋大学3139男</v>
      </c>
      <c r="B1140" s="149" t="s">
        <v>2618</v>
      </c>
      <c r="C1140" s="149">
        <v>3139</v>
      </c>
      <c r="D1140" s="149" t="s">
        <v>3253</v>
      </c>
      <c r="E1140" s="149" t="s">
        <v>3254</v>
      </c>
      <c r="F1140" s="149" t="s">
        <v>280</v>
      </c>
      <c r="G1140" s="149" t="s">
        <v>143</v>
      </c>
      <c r="H1140" s="151" t="str">
        <f t="shared" si="86"/>
        <v>1996/04/26</v>
      </c>
      <c r="I1140" s="149" t="s">
        <v>290</v>
      </c>
      <c r="J1140" s="149" t="s">
        <v>3966</v>
      </c>
      <c r="K1140" s="101" t="str">
        <f t="shared" si="87"/>
        <v>96</v>
      </c>
      <c r="L1140" s="101" t="str">
        <f t="shared" si="88"/>
        <v>04</v>
      </c>
      <c r="M1140" s="101" t="str">
        <f t="shared" si="89"/>
        <v>26</v>
      </c>
    </row>
    <row r="1141" spans="1:13">
      <c r="A1141" t="str">
        <f t="shared" si="85"/>
        <v>環太平洋大学3140男</v>
      </c>
      <c r="B1141" s="149" t="s">
        <v>2618</v>
      </c>
      <c r="C1141" s="149">
        <v>3140</v>
      </c>
      <c r="D1141" s="149" t="s">
        <v>3255</v>
      </c>
      <c r="E1141" s="149" t="s">
        <v>3256</v>
      </c>
      <c r="F1141" s="149" t="s">
        <v>280</v>
      </c>
      <c r="G1141" s="149" t="s">
        <v>143</v>
      </c>
      <c r="H1141" s="151" t="str">
        <f t="shared" si="86"/>
        <v>1996/12/17</v>
      </c>
      <c r="I1141" s="149" t="s">
        <v>263</v>
      </c>
      <c r="J1141" s="149" t="s">
        <v>825</v>
      </c>
      <c r="K1141" s="101" t="str">
        <f t="shared" si="87"/>
        <v>96</v>
      </c>
      <c r="L1141" s="101" t="str">
        <f t="shared" si="88"/>
        <v>12</v>
      </c>
      <c r="M1141" s="101" t="str">
        <f t="shared" si="89"/>
        <v>17</v>
      </c>
    </row>
    <row r="1142" spans="1:13">
      <c r="A1142" t="str">
        <f t="shared" si="85"/>
        <v>環太平洋大学3141男</v>
      </c>
      <c r="B1142" s="149" t="s">
        <v>2618</v>
      </c>
      <c r="C1142" s="149">
        <v>3141</v>
      </c>
      <c r="D1142" s="149" t="s">
        <v>3257</v>
      </c>
      <c r="E1142" s="149" t="s">
        <v>3258</v>
      </c>
      <c r="F1142" s="149" t="s">
        <v>280</v>
      </c>
      <c r="G1142" s="149" t="s">
        <v>143</v>
      </c>
      <c r="H1142" s="151" t="str">
        <f t="shared" si="86"/>
        <v>1996/08/01</v>
      </c>
      <c r="I1142" s="149" t="s">
        <v>269</v>
      </c>
      <c r="J1142" s="149" t="s">
        <v>3948</v>
      </c>
      <c r="K1142" s="101" t="str">
        <f t="shared" si="87"/>
        <v>96</v>
      </c>
      <c r="L1142" s="101" t="str">
        <f t="shared" si="88"/>
        <v>08</v>
      </c>
      <c r="M1142" s="101" t="str">
        <f t="shared" si="89"/>
        <v>01</v>
      </c>
    </row>
    <row r="1143" spans="1:13">
      <c r="A1143" t="str">
        <f t="shared" si="85"/>
        <v>環太平洋大学3142男</v>
      </c>
      <c r="B1143" s="149" t="s">
        <v>2618</v>
      </c>
      <c r="C1143" s="149">
        <v>3142</v>
      </c>
      <c r="D1143" s="149" t="s">
        <v>3259</v>
      </c>
      <c r="E1143" s="149" t="s">
        <v>3260</v>
      </c>
      <c r="F1143" s="149" t="s">
        <v>280</v>
      </c>
      <c r="G1143" s="149" t="s">
        <v>143</v>
      </c>
      <c r="H1143" s="151" t="str">
        <f t="shared" si="86"/>
        <v>1997/03/08</v>
      </c>
      <c r="I1143" s="149" t="s">
        <v>276</v>
      </c>
      <c r="J1143" s="149" t="s">
        <v>3967</v>
      </c>
      <c r="K1143" s="101" t="str">
        <f t="shared" si="87"/>
        <v>97</v>
      </c>
      <c r="L1143" s="101" t="str">
        <f t="shared" si="88"/>
        <v>03</v>
      </c>
      <c r="M1143" s="101" t="str">
        <f t="shared" si="89"/>
        <v>08</v>
      </c>
    </row>
    <row r="1144" spans="1:13">
      <c r="A1144" t="str">
        <f t="shared" si="85"/>
        <v>環太平洋大学3143男</v>
      </c>
      <c r="B1144" s="149" t="s">
        <v>2618</v>
      </c>
      <c r="C1144" s="149">
        <v>3143</v>
      </c>
      <c r="D1144" s="149" t="s">
        <v>3261</v>
      </c>
      <c r="E1144" s="149" t="s">
        <v>3262</v>
      </c>
      <c r="F1144" s="149" t="s">
        <v>280</v>
      </c>
      <c r="G1144" s="149" t="s">
        <v>143</v>
      </c>
      <c r="H1144" s="151" t="str">
        <f t="shared" si="86"/>
        <v>1996/11/21</v>
      </c>
      <c r="I1144" s="149" t="s">
        <v>277</v>
      </c>
      <c r="J1144" s="149" t="s">
        <v>798</v>
      </c>
      <c r="K1144" s="101" t="str">
        <f t="shared" si="87"/>
        <v>96</v>
      </c>
      <c r="L1144" s="101" t="str">
        <f t="shared" si="88"/>
        <v>11</v>
      </c>
      <c r="M1144" s="101" t="str">
        <f t="shared" si="89"/>
        <v>21</v>
      </c>
    </row>
    <row r="1145" spans="1:13">
      <c r="A1145" t="str">
        <f t="shared" si="85"/>
        <v>環太平洋大学3144男</v>
      </c>
      <c r="B1145" s="149" t="s">
        <v>2618</v>
      </c>
      <c r="C1145" s="149">
        <v>3144</v>
      </c>
      <c r="D1145" s="149" t="s">
        <v>3263</v>
      </c>
      <c r="E1145" s="149" t="s">
        <v>3264</v>
      </c>
      <c r="F1145" s="149" t="s">
        <v>280</v>
      </c>
      <c r="G1145" s="149" t="s">
        <v>143</v>
      </c>
      <c r="H1145" s="151" t="str">
        <f t="shared" si="86"/>
        <v>1996/06/07</v>
      </c>
      <c r="I1145" s="149" t="s">
        <v>269</v>
      </c>
      <c r="J1145" s="149" t="s">
        <v>762</v>
      </c>
      <c r="K1145" s="101" t="str">
        <f t="shared" si="87"/>
        <v>96</v>
      </c>
      <c r="L1145" s="101" t="str">
        <f t="shared" si="88"/>
        <v>06</v>
      </c>
      <c r="M1145" s="101" t="str">
        <f t="shared" si="89"/>
        <v>07</v>
      </c>
    </row>
    <row r="1146" spans="1:13">
      <c r="A1146" t="str">
        <f t="shared" si="85"/>
        <v>環太平洋大学3145男</v>
      </c>
      <c r="B1146" s="149" t="s">
        <v>2618</v>
      </c>
      <c r="C1146" s="149">
        <v>3145</v>
      </c>
      <c r="D1146" s="149" t="s">
        <v>3265</v>
      </c>
      <c r="E1146" s="149" t="s">
        <v>3266</v>
      </c>
      <c r="F1146" s="149" t="s">
        <v>280</v>
      </c>
      <c r="G1146" s="149" t="s">
        <v>143</v>
      </c>
      <c r="H1146" s="151" t="str">
        <f t="shared" si="86"/>
        <v>1996/10/14</v>
      </c>
      <c r="I1146" s="149" t="s">
        <v>299</v>
      </c>
      <c r="J1146" s="149" t="s">
        <v>753</v>
      </c>
      <c r="K1146" s="101" t="str">
        <f t="shared" si="87"/>
        <v>96</v>
      </c>
      <c r="L1146" s="101" t="str">
        <f t="shared" si="88"/>
        <v>10</v>
      </c>
      <c r="M1146" s="101" t="str">
        <f t="shared" si="89"/>
        <v>14</v>
      </c>
    </row>
    <row r="1147" spans="1:13">
      <c r="A1147" t="str">
        <f t="shared" si="85"/>
        <v>環太平洋大学3146男</v>
      </c>
      <c r="B1147" s="149" t="s">
        <v>2618</v>
      </c>
      <c r="C1147" s="149">
        <v>3146</v>
      </c>
      <c r="D1147" s="149" t="s">
        <v>3267</v>
      </c>
      <c r="E1147" s="149" t="s">
        <v>3268</v>
      </c>
      <c r="F1147" s="149" t="s">
        <v>280</v>
      </c>
      <c r="G1147" s="149" t="s">
        <v>143</v>
      </c>
      <c r="H1147" s="151" t="str">
        <f t="shared" si="86"/>
        <v>1996/04/21</v>
      </c>
      <c r="I1147" s="149" t="s">
        <v>277</v>
      </c>
      <c r="J1147" s="149" t="s">
        <v>729</v>
      </c>
      <c r="K1147" s="101" t="str">
        <f t="shared" si="87"/>
        <v>96</v>
      </c>
      <c r="L1147" s="101" t="str">
        <f t="shared" si="88"/>
        <v>04</v>
      </c>
      <c r="M1147" s="101" t="str">
        <f t="shared" si="89"/>
        <v>21</v>
      </c>
    </row>
    <row r="1148" spans="1:13">
      <c r="A1148" t="str">
        <f t="shared" si="85"/>
        <v>環太平洋大学3147男</v>
      </c>
      <c r="B1148" s="149" t="s">
        <v>2618</v>
      </c>
      <c r="C1148" s="149">
        <v>3147</v>
      </c>
      <c r="D1148" s="149" t="s">
        <v>3269</v>
      </c>
      <c r="E1148" s="149" t="s">
        <v>3270</v>
      </c>
      <c r="F1148" s="149" t="s">
        <v>280</v>
      </c>
      <c r="G1148" s="149" t="s">
        <v>143</v>
      </c>
      <c r="H1148" s="151" t="str">
        <f t="shared" si="86"/>
        <v>1996/11/29</v>
      </c>
      <c r="I1148" s="149" t="s">
        <v>5</v>
      </c>
      <c r="J1148" s="149" t="s">
        <v>745</v>
      </c>
      <c r="K1148" s="101" t="str">
        <f t="shared" si="87"/>
        <v>96</v>
      </c>
      <c r="L1148" s="101" t="str">
        <f t="shared" si="88"/>
        <v>11</v>
      </c>
      <c r="M1148" s="101" t="str">
        <f t="shared" si="89"/>
        <v>29</v>
      </c>
    </row>
    <row r="1149" spans="1:13">
      <c r="A1149" t="str">
        <f t="shared" si="85"/>
        <v>環太平洋大学3148男</v>
      </c>
      <c r="B1149" s="149" t="s">
        <v>2618</v>
      </c>
      <c r="C1149" s="149">
        <v>3148</v>
      </c>
      <c r="D1149" s="149" t="s">
        <v>3271</v>
      </c>
      <c r="E1149" s="149" t="s">
        <v>3272</v>
      </c>
      <c r="F1149" s="149" t="s">
        <v>280</v>
      </c>
      <c r="G1149" s="149" t="s">
        <v>143</v>
      </c>
      <c r="H1149" s="151" t="str">
        <f t="shared" si="86"/>
        <v>1996/04/19</v>
      </c>
      <c r="I1149" s="149" t="s">
        <v>5</v>
      </c>
      <c r="J1149" s="149" t="s">
        <v>722</v>
      </c>
      <c r="K1149" s="101" t="str">
        <f t="shared" si="87"/>
        <v>96</v>
      </c>
      <c r="L1149" s="101" t="str">
        <f t="shared" si="88"/>
        <v>04</v>
      </c>
      <c r="M1149" s="101" t="str">
        <f t="shared" si="89"/>
        <v>19</v>
      </c>
    </row>
    <row r="1150" spans="1:13">
      <c r="A1150" t="str">
        <f t="shared" si="85"/>
        <v>環太平洋大学3149男</v>
      </c>
      <c r="B1150" s="149" t="s">
        <v>2618</v>
      </c>
      <c r="C1150" s="149">
        <v>3149</v>
      </c>
      <c r="D1150" s="149" t="s">
        <v>3273</v>
      </c>
      <c r="E1150" s="149" t="s">
        <v>3274</v>
      </c>
      <c r="F1150" s="149" t="s">
        <v>280</v>
      </c>
      <c r="G1150" s="149" t="s">
        <v>143</v>
      </c>
      <c r="H1150" s="151" t="str">
        <f t="shared" si="86"/>
        <v>1996/04/07</v>
      </c>
      <c r="I1150" s="149" t="s">
        <v>277</v>
      </c>
      <c r="J1150" s="149" t="s">
        <v>3968</v>
      </c>
      <c r="K1150" s="101" t="str">
        <f t="shared" si="87"/>
        <v>96</v>
      </c>
      <c r="L1150" s="101" t="str">
        <f t="shared" si="88"/>
        <v>04</v>
      </c>
      <c r="M1150" s="101" t="str">
        <f t="shared" si="89"/>
        <v>07</v>
      </c>
    </row>
    <row r="1151" spans="1:13">
      <c r="A1151" t="str">
        <f t="shared" si="85"/>
        <v>環太平洋大学3150男</v>
      </c>
      <c r="B1151" s="149" t="s">
        <v>2618</v>
      </c>
      <c r="C1151" s="149">
        <v>3150</v>
      </c>
      <c r="D1151" s="149" t="s">
        <v>3275</v>
      </c>
      <c r="E1151" s="149" t="s">
        <v>3276</v>
      </c>
      <c r="F1151" s="149" t="s">
        <v>280</v>
      </c>
      <c r="G1151" s="149" t="s">
        <v>143</v>
      </c>
      <c r="H1151" s="151" t="str">
        <f t="shared" si="86"/>
        <v>1996/09/19</v>
      </c>
      <c r="I1151" s="149" t="s">
        <v>295</v>
      </c>
      <c r="J1151" s="149" t="s">
        <v>415</v>
      </c>
      <c r="K1151" s="101" t="str">
        <f t="shared" si="87"/>
        <v>96</v>
      </c>
      <c r="L1151" s="101" t="str">
        <f t="shared" si="88"/>
        <v>09</v>
      </c>
      <c r="M1151" s="101" t="str">
        <f t="shared" si="89"/>
        <v>19</v>
      </c>
    </row>
    <row r="1152" spans="1:13">
      <c r="A1152" t="str">
        <f t="shared" si="85"/>
        <v>環太平洋大学3151男</v>
      </c>
      <c r="B1152" s="149" t="s">
        <v>2618</v>
      </c>
      <c r="C1152" s="149">
        <v>3151</v>
      </c>
      <c r="D1152" s="149" t="s">
        <v>3277</v>
      </c>
      <c r="E1152" s="149" t="s">
        <v>3278</v>
      </c>
      <c r="F1152" s="149" t="s">
        <v>280</v>
      </c>
      <c r="G1152" s="149" t="s">
        <v>143</v>
      </c>
      <c r="H1152" s="151" t="str">
        <f t="shared" si="86"/>
        <v>1996/05/10</v>
      </c>
      <c r="I1152" s="149" t="s">
        <v>299</v>
      </c>
      <c r="J1152" s="149" t="s">
        <v>644</v>
      </c>
      <c r="K1152" s="101" t="str">
        <f t="shared" si="87"/>
        <v>96</v>
      </c>
      <c r="L1152" s="101" t="str">
        <f t="shared" si="88"/>
        <v>05</v>
      </c>
      <c r="M1152" s="101" t="str">
        <f t="shared" si="89"/>
        <v>10</v>
      </c>
    </row>
    <row r="1153" spans="1:13">
      <c r="A1153" t="str">
        <f t="shared" si="85"/>
        <v>環太平洋大学3152男</v>
      </c>
      <c r="B1153" s="149" t="s">
        <v>2618</v>
      </c>
      <c r="C1153" s="149">
        <v>3152</v>
      </c>
      <c r="D1153" s="149" t="s">
        <v>3279</v>
      </c>
      <c r="E1153" s="149" t="s">
        <v>3280</v>
      </c>
      <c r="F1153" s="149" t="s">
        <v>280</v>
      </c>
      <c r="G1153" s="149" t="s">
        <v>143</v>
      </c>
      <c r="H1153" s="151" t="str">
        <f t="shared" si="86"/>
        <v>1996/10/26</v>
      </c>
      <c r="I1153" s="149" t="s">
        <v>290</v>
      </c>
      <c r="J1153" s="149" t="s">
        <v>3962</v>
      </c>
      <c r="K1153" s="101" t="str">
        <f t="shared" si="87"/>
        <v>96</v>
      </c>
      <c r="L1153" s="101" t="str">
        <f t="shared" si="88"/>
        <v>10</v>
      </c>
      <c r="M1153" s="101" t="str">
        <f t="shared" si="89"/>
        <v>26</v>
      </c>
    </row>
    <row r="1154" spans="1:13">
      <c r="A1154" t="str">
        <f t="shared" ref="A1154:A1217" si="90">B1154&amp;C1154&amp;G1154</f>
        <v>環太平洋大学3153男</v>
      </c>
      <c r="B1154" s="149" t="s">
        <v>2618</v>
      </c>
      <c r="C1154" s="149">
        <v>3153</v>
      </c>
      <c r="D1154" s="149" t="s">
        <v>3281</v>
      </c>
      <c r="E1154" s="149" t="s">
        <v>3282</v>
      </c>
      <c r="F1154" s="149" t="s">
        <v>280</v>
      </c>
      <c r="G1154" s="149" t="s">
        <v>143</v>
      </c>
      <c r="H1154" s="151" t="str">
        <f t="shared" si="86"/>
        <v>1996/05/03</v>
      </c>
      <c r="I1154" s="149" t="s">
        <v>269</v>
      </c>
      <c r="J1154" s="149" t="s">
        <v>3953</v>
      </c>
      <c r="K1154" s="101" t="str">
        <f t="shared" si="87"/>
        <v>96</v>
      </c>
      <c r="L1154" s="101" t="str">
        <f t="shared" si="88"/>
        <v>05</v>
      </c>
      <c r="M1154" s="101" t="str">
        <f t="shared" si="89"/>
        <v>03</v>
      </c>
    </row>
    <row r="1155" spans="1:13">
      <c r="A1155" t="str">
        <f t="shared" si="90"/>
        <v>環太平洋大学3154男</v>
      </c>
      <c r="B1155" s="149" t="s">
        <v>2618</v>
      </c>
      <c r="C1155" s="149">
        <v>3154</v>
      </c>
      <c r="D1155" s="149" t="s">
        <v>3283</v>
      </c>
      <c r="E1155" s="149" t="s">
        <v>3284</v>
      </c>
      <c r="F1155" s="149" t="s">
        <v>280</v>
      </c>
      <c r="G1155" s="149" t="s">
        <v>143</v>
      </c>
      <c r="H1155" s="151" t="str">
        <f t="shared" ref="H1155:H1218" si="91">"19"&amp;K1155&amp;"/"&amp;L1155&amp;"/"&amp;M1155</f>
        <v>1996/07/03</v>
      </c>
      <c r="I1155" s="149" t="s">
        <v>277</v>
      </c>
      <c r="J1155" s="149" t="s">
        <v>696</v>
      </c>
      <c r="K1155" s="101" t="str">
        <f t="shared" ref="K1155:K1218" si="92">MID(J1155,1,2)</f>
        <v>96</v>
      </c>
      <c r="L1155" s="101" t="str">
        <f t="shared" ref="L1155:L1218" si="93">MID(J1155,3,2)</f>
        <v>07</v>
      </c>
      <c r="M1155" s="101" t="str">
        <f t="shared" ref="M1155:M1218" si="94">MID(J1155,5,2)</f>
        <v>03</v>
      </c>
    </row>
    <row r="1156" spans="1:13">
      <c r="A1156" t="str">
        <f t="shared" si="90"/>
        <v>環太平洋大学3155男</v>
      </c>
      <c r="B1156" s="149" t="s">
        <v>2618</v>
      </c>
      <c r="C1156" s="149">
        <v>3155</v>
      </c>
      <c r="D1156" s="149" t="s">
        <v>3285</v>
      </c>
      <c r="E1156" s="149" t="s">
        <v>3286</v>
      </c>
      <c r="F1156" s="149" t="s">
        <v>280</v>
      </c>
      <c r="G1156" s="149" t="s">
        <v>143</v>
      </c>
      <c r="H1156" s="151" t="str">
        <f t="shared" si="91"/>
        <v>1996/06/13</v>
      </c>
      <c r="I1156" s="149" t="s">
        <v>290</v>
      </c>
      <c r="J1156" s="149" t="s">
        <v>3969</v>
      </c>
      <c r="K1156" s="101" t="str">
        <f t="shared" si="92"/>
        <v>96</v>
      </c>
      <c r="L1156" s="101" t="str">
        <f t="shared" si="93"/>
        <v>06</v>
      </c>
      <c r="M1156" s="101" t="str">
        <f t="shared" si="94"/>
        <v>13</v>
      </c>
    </row>
    <row r="1157" spans="1:13">
      <c r="A1157" t="str">
        <f t="shared" si="90"/>
        <v>環太平洋大学3156男</v>
      </c>
      <c r="B1157" s="149" t="s">
        <v>2618</v>
      </c>
      <c r="C1157" s="149">
        <v>3156</v>
      </c>
      <c r="D1157" s="149" t="s">
        <v>3287</v>
      </c>
      <c r="E1157" s="149" t="s">
        <v>3288</v>
      </c>
      <c r="F1157" s="149" t="s">
        <v>280</v>
      </c>
      <c r="G1157" s="149" t="s">
        <v>143</v>
      </c>
      <c r="H1157" s="151" t="str">
        <f t="shared" si="91"/>
        <v>1996/08/29</v>
      </c>
      <c r="I1157" s="149" t="s">
        <v>277</v>
      </c>
      <c r="J1157" s="149" t="s">
        <v>937</v>
      </c>
      <c r="K1157" s="101" t="str">
        <f t="shared" si="92"/>
        <v>96</v>
      </c>
      <c r="L1157" s="101" t="str">
        <f t="shared" si="93"/>
        <v>08</v>
      </c>
      <c r="M1157" s="101" t="str">
        <f t="shared" si="94"/>
        <v>29</v>
      </c>
    </row>
    <row r="1158" spans="1:13">
      <c r="A1158" t="str">
        <f t="shared" si="90"/>
        <v>環太平洋大学3157男</v>
      </c>
      <c r="B1158" s="149" t="s">
        <v>2618</v>
      </c>
      <c r="C1158" s="149">
        <v>3157</v>
      </c>
      <c r="D1158" s="149" t="s">
        <v>3289</v>
      </c>
      <c r="E1158" s="149" t="s">
        <v>3290</v>
      </c>
      <c r="F1158" s="149" t="s">
        <v>280</v>
      </c>
      <c r="G1158" s="149" t="s">
        <v>143</v>
      </c>
      <c r="H1158" s="151" t="str">
        <f t="shared" si="91"/>
        <v>1996/12/24</v>
      </c>
      <c r="I1158" s="149" t="s">
        <v>277</v>
      </c>
      <c r="J1158" s="149" t="s">
        <v>3970</v>
      </c>
      <c r="K1158" s="101" t="str">
        <f t="shared" si="92"/>
        <v>96</v>
      </c>
      <c r="L1158" s="101" t="str">
        <f t="shared" si="93"/>
        <v>12</v>
      </c>
      <c r="M1158" s="101" t="str">
        <f t="shared" si="94"/>
        <v>24</v>
      </c>
    </row>
    <row r="1159" spans="1:13">
      <c r="A1159" t="str">
        <f t="shared" si="90"/>
        <v>環太平洋大学3158男</v>
      </c>
      <c r="B1159" s="149" t="s">
        <v>2618</v>
      </c>
      <c r="C1159" s="149">
        <v>3158</v>
      </c>
      <c r="D1159" s="149" t="s">
        <v>3291</v>
      </c>
      <c r="E1159" s="149" t="s">
        <v>3292</v>
      </c>
      <c r="F1159" s="149" t="s">
        <v>280</v>
      </c>
      <c r="G1159" s="149" t="s">
        <v>143</v>
      </c>
      <c r="H1159" s="151" t="str">
        <f t="shared" si="91"/>
        <v>1996/06/27</v>
      </c>
      <c r="I1159" s="149" t="s">
        <v>302</v>
      </c>
      <c r="J1159" s="149" t="s">
        <v>718</v>
      </c>
      <c r="K1159" s="101" t="str">
        <f t="shared" si="92"/>
        <v>96</v>
      </c>
      <c r="L1159" s="101" t="str">
        <f t="shared" si="93"/>
        <v>06</v>
      </c>
      <c r="M1159" s="101" t="str">
        <f t="shared" si="94"/>
        <v>27</v>
      </c>
    </row>
    <row r="1160" spans="1:13">
      <c r="A1160" t="str">
        <f t="shared" si="90"/>
        <v>環太平洋大学3159男</v>
      </c>
      <c r="B1160" s="149" t="s">
        <v>2618</v>
      </c>
      <c r="C1160" s="149">
        <v>3159</v>
      </c>
      <c r="D1160" s="149" t="s">
        <v>3293</v>
      </c>
      <c r="E1160" s="149" t="s">
        <v>3294</v>
      </c>
      <c r="F1160" s="149" t="s">
        <v>280</v>
      </c>
      <c r="G1160" s="149" t="s">
        <v>143</v>
      </c>
      <c r="H1160" s="151" t="str">
        <f t="shared" si="91"/>
        <v>1996/05/09</v>
      </c>
      <c r="I1160" s="149" t="s">
        <v>295</v>
      </c>
      <c r="J1160" s="149" t="s">
        <v>808</v>
      </c>
      <c r="K1160" s="101" t="str">
        <f t="shared" si="92"/>
        <v>96</v>
      </c>
      <c r="L1160" s="101" t="str">
        <f t="shared" si="93"/>
        <v>05</v>
      </c>
      <c r="M1160" s="101" t="str">
        <f t="shared" si="94"/>
        <v>09</v>
      </c>
    </row>
    <row r="1161" spans="1:13">
      <c r="A1161" t="str">
        <f t="shared" si="90"/>
        <v>環太平洋大学3160男</v>
      </c>
      <c r="B1161" s="149" t="s">
        <v>2618</v>
      </c>
      <c r="C1161" s="149">
        <v>3160</v>
      </c>
      <c r="D1161" s="149" t="s">
        <v>3295</v>
      </c>
      <c r="E1161" s="149" t="s">
        <v>3296</v>
      </c>
      <c r="F1161" s="149" t="s">
        <v>280</v>
      </c>
      <c r="G1161" s="149" t="s">
        <v>143</v>
      </c>
      <c r="H1161" s="151" t="str">
        <f t="shared" si="91"/>
        <v>1996/04/21</v>
      </c>
      <c r="I1161" s="149" t="s">
        <v>277</v>
      </c>
      <c r="J1161" s="149" t="s">
        <v>729</v>
      </c>
      <c r="K1161" s="101" t="str">
        <f t="shared" si="92"/>
        <v>96</v>
      </c>
      <c r="L1161" s="101" t="str">
        <f t="shared" si="93"/>
        <v>04</v>
      </c>
      <c r="M1161" s="101" t="str">
        <f t="shared" si="94"/>
        <v>21</v>
      </c>
    </row>
    <row r="1162" spans="1:13">
      <c r="A1162" t="str">
        <f t="shared" si="90"/>
        <v>環太平洋大学3161男</v>
      </c>
      <c r="B1162" s="149" t="s">
        <v>2618</v>
      </c>
      <c r="C1162" s="149">
        <v>3161</v>
      </c>
      <c r="D1162" s="149" t="s">
        <v>3297</v>
      </c>
      <c r="E1162" s="149" t="s">
        <v>3298</v>
      </c>
      <c r="F1162" s="149" t="s">
        <v>280</v>
      </c>
      <c r="G1162" s="149" t="s">
        <v>143</v>
      </c>
      <c r="H1162" s="151" t="str">
        <f t="shared" si="91"/>
        <v>1996/04/09</v>
      </c>
      <c r="I1162" s="149" t="s">
        <v>304</v>
      </c>
      <c r="J1162" s="149" t="s">
        <v>748</v>
      </c>
      <c r="K1162" s="101" t="str">
        <f t="shared" si="92"/>
        <v>96</v>
      </c>
      <c r="L1162" s="101" t="str">
        <f t="shared" si="93"/>
        <v>04</v>
      </c>
      <c r="M1162" s="101" t="str">
        <f t="shared" si="94"/>
        <v>09</v>
      </c>
    </row>
    <row r="1163" spans="1:13">
      <c r="A1163" t="str">
        <f t="shared" si="90"/>
        <v>環太平洋大学3162男</v>
      </c>
      <c r="B1163" s="149" t="s">
        <v>2618</v>
      </c>
      <c r="C1163" s="149">
        <v>3162</v>
      </c>
      <c r="D1163" s="149" t="s">
        <v>3299</v>
      </c>
      <c r="E1163" s="149" t="s">
        <v>3300</v>
      </c>
      <c r="F1163" s="149" t="s">
        <v>280</v>
      </c>
      <c r="G1163" s="149" t="s">
        <v>143</v>
      </c>
      <c r="H1163" s="151" t="str">
        <f t="shared" si="91"/>
        <v>1996/11/13</v>
      </c>
      <c r="I1163" s="149" t="s">
        <v>302</v>
      </c>
      <c r="J1163" s="149" t="s">
        <v>3915</v>
      </c>
      <c r="K1163" s="101" t="str">
        <f t="shared" si="92"/>
        <v>96</v>
      </c>
      <c r="L1163" s="101" t="str">
        <f t="shared" si="93"/>
        <v>11</v>
      </c>
      <c r="M1163" s="101" t="str">
        <f t="shared" si="94"/>
        <v>13</v>
      </c>
    </row>
    <row r="1164" spans="1:13">
      <c r="A1164" t="str">
        <f t="shared" si="90"/>
        <v>環太平洋大学3163男</v>
      </c>
      <c r="B1164" s="149" t="s">
        <v>2618</v>
      </c>
      <c r="C1164" s="149">
        <v>3163</v>
      </c>
      <c r="D1164" s="149" t="s">
        <v>3301</v>
      </c>
      <c r="E1164" s="149" t="s">
        <v>3302</v>
      </c>
      <c r="F1164" s="149" t="s">
        <v>280</v>
      </c>
      <c r="G1164" s="149" t="s">
        <v>143</v>
      </c>
      <c r="H1164" s="151" t="str">
        <f t="shared" si="91"/>
        <v>1996/08/31</v>
      </c>
      <c r="I1164" s="149" t="s">
        <v>276</v>
      </c>
      <c r="J1164" s="149" t="s">
        <v>3947</v>
      </c>
      <c r="K1164" s="101" t="str">
        <f t="shared" si="92"/>
        <v>96</v>
      </c>
      <c r="L1164" s="101" t="str">
        <f t="shared" si="93"/>
        <v>08</v>
      </c>
      <c r="M1164" s="101" t="str">
        <f t="shared" si="94"/>
        <v>31</v>
      </c>
    </row>
    <row r="1165" spans="1:13">
      <c r="A1165" t="str">
        <f t="shared" si="90"/>
        <v>環太平洋大学3164男</v>
      </c>
      <c r="B1165" s="149" t="s">
        <v>2618</v>
      </c>
      <c r="C1165" s="149">
        <v>3164</v>
      </c>
      <c r="D1165" s="149" t="s">
        <v>3303</v>
      </c>
      <c r="E1165" s="149" t="s">
        <v>3304</v>
      </c>
      <c r="F1165" s="149" t="s">
        <v>280</v>
      </c>
      <c r="G1165" s="149" t="s">
        <v>143</v>
      </c>
      <c r="H1165" s="151" t="str">
        <f t="shared" si="91"/>
        <v>1997/02/13</v>
      </c>
      <c r="I1165" s="149" t="s">
        <v>289</v>
      </c>
      <c r="J1165" s="149" t="s">
        <v>3971</v>
      </c>
      <c r="K1165" s="101" t="str">
        <f t="shared" si="92"/>
        <v>97</v>
      </c>
      <c r="L1165" s="101" t="str">
        <f t="shared" si="93"/>
        <v>02</v>
      </c>
      <c r="M1165" s="101" t="str">
        <f t="shared" si="94"/>
        <v>13</v>
      </c>
    </row>
    <row r="1166" spans="1:13">
      <c r="A1166" t="str">
        <f t="shared" si="90"/>
        <v>環太平洋大学3165男</v>
      </c>
      <c r="B1166" s="149" t="s">
        <v>2618</v>
      </c>
      <c r="C1166" s="149">
        <v>3165</v>
      </c>
      <c r="D1166" s="149" t="s">
        <v>3305</v>
      </c>
      <c r="E1166" s="149" t="s">
        <v>3306</v>
      </c>
      <c r="F1166" s="149" t="s">
        <v>280</v>
      </c>
      <c r="G1166" s="149" t="s">
        <v>143</v>
      </c>
      <c r="H1166" s="151" t="str">
        <f t="shared" si="91"/>
        <v>1996/12/24</v>
      </c>
      <c r="I1166" s="149" t="s">
        <v>295</v>
      </c>
      <c r="J1166" s="149" t="s">
        <v>3970</v>
      </c>
      <c r="K1166" s="101" t="str">
        <f t="shared" si="92"/>
        <v>96</v>
      </c>
      <c r="L1166" s="101" t="str">
        <f t="shared" si="93"/>
        <v>12</v>
      </c>
      <c r="M1166" s="101" t="str">
        <f t="shared" si="94"/>
        <v>24</v>
      </c>
    </row>
    <row r="1167" spans="1:13">
      <c r="A1167" t="str">
        <f t="shared" si="90"/>
        <v>環太平洋大学3166男</v>
      </c>
      <c r="B1167" s="149" t="s">
        <v>2618</v>
      </c>
      <c r="C1167" s="149">
        <v>3166</v>
      </c>
      <c r="D1167" s="149" t="s">
        <v>3307</v>
      </c>
      <c r="E1167" s="149" t="s">
        <v>3308</v>
      </c>
      <c r="F1167" s="149" t="s">
        <v>280</v>
      </c>
      <c r="G1167" s="149" t="s">
        <v>143</v>
      </c>
      <c r="H1167" s="151" t="str">
        <f t="shared" si="91"/>
        <v>1996/09/24</v>
      </c>
      <c r="I1167" s="149" t="s">
        <v>305</v>
      </c>
      <c r="J1167" s="149" t="s">
        <v>835</v>
      </c>
      <c r="K1167" s="101" t="str">
        <f t="shared" si="92"/>
        <v>96</v>
      </c>
      <c r="L1167" s="101" t="str">
        <f t="shared" si="93"/>
        <v>09</v>
      </c>
      <c r="M1167" s="101" t="str">
        <f t="shared" si="94"/>
        <v>24</v>
      </c>
    </row>
    <row r="1168" spans="1:13">
      <c r="A1168" t="str">
        <f t="shared" si="90"/>
        <v>環太平洋大学3167男</v>
      </c>
      <c r="B1168" s="149" t="s">
        <v>2618</v>
      </c>
      <c r="C1168" s="149">
        <v>3167</v>
      </c>
      <c r="D1168" s="149" t="s">
        <v>3309</v>
      </c>
      <c r="E1168" s="149" t="s">
        <v>3310</v>
      </c>
      <c r="F1168" s="149" t="s">
        <v>280</v>
      </c>
      <c r="G1168" s="149" t="s">
        <v>143</v>
      </c>
      <c r="H1168" s="151" t="str">
        <f t="shared" si="91"/>
        <v>1996/07/24</v>
      </c>
      <c r="I1168" s="149" t="s">
        <v>281</v>
      </c>
      <c r="J1168" s="149" t="s">
        <v>810</v>
      </c>
      <c r="K1168" s="101" t="str">
        <f t="shared" si="92"/>
        <v>96</v>
      </c>
      <c r="L1168" s="101" t="str">
        <f t="shared" si="93"/>
        <v>07</v>
      </c>
      <c r="M1168" s="101" t="str">
        <f t="shared" si="94"/>
        <v>24</v>
      </c>
    </row>
    <row r="1169" spans="1:13">
      <c r="A1169" t="str">
        <f t="shared" si="90"/>
        <v>環太平洋大学3168男</v>
      </c>
      <c r="B1169" s="149" t="s">
        <v>2618</v>
      </c>
      <c r="C1169" s="149">
        <v>3168</v>
      </c>
      <c r="D1169" s="149" t="s">
        <v>3311</v>
      </c>
      <c r="E1169" s="149" t="s">
        <v>3312</v>
      </c>
      <c r="F1169" s="149" t="s">
        <v>280</v>
      </c>
      <c r="G1169" s="149" t="s">
        <v>143</v>
      </c>
      <c r="H1169" s="151" t="str">
        <f t="shared" si="91"/>
        <v>1996/11/06</v>
      </c>
      <c r="I1169" s="149" t="s">
        <v>302</v>
      </c>
      <c r="J1169" s="149" t="s">
        <v>3972</v>
      </c>
      <c r="K1169" s="101" t="str">
        <f t="shared" si="92"/>
        <v>96</v>
      </c>
      <c r="L1169" s="101" t="str">
        <f t="shared" si="93"/>
        <v>11</v>
      </c>
      <c r="M1169" s="101" t="str">
        <f t="shared" si="94"/>
        <v>06</v>
      </c>
    </row>
    <row r="1170" spans="1:13">
      <c r="A1170" t="str">
        <f t="shared" si="90"/>
        <v>環太平洋大学3169男</v>
      </c>
      <c r="B1170" s="149" t="s">
        <v>2618</v>
      </c>
      <c r="C1170" s="149">
        <v>3169</v>
      </c>
      <c r="D1170" s="149" t="s">
        <v>3313</v>
      </c>
      <c r="E1170" s="149" t="s">
        <v>3314</v>
      </c>
      <c r="F1170" s="149" t="s">
        <v>280</v>
      </c>
      <c r="G1170" s="149" t="s">
        <v>143</v>
      </c>
      <c r="H1170" s="151" t="str">
        <f t="shared" si="91"/>
        <v>1996/09/29</v>
      </c>
      <c r="I1170" s="149" t="s">
        <v>299</v>
      </c>
      <c r="J1170" s="149" t="s">
        <v>3973</v>
      </c>
      <c r="K1170" s="101" t="str">
        <f t="shared" si="92"/>
        <v>96</v>
      </c>
      <c r="L1170" s="101" t="str">
        <f t="shared" si="93"/>
        <v>09</v>
      </c>
      <c r="M1170" s="101" t="str">
        <f t="shared" si="94"/>
        <v>29</v>
      </c>
    </row>
    <row r="1171" spans="1:13">
      <c r="A1171" t="str">
        <f t="shared" si="90"/>
        <v>環太平洋大学3170男</v>
      </c>
      <c r="B1171" s="149" t="s">
        <v>2618</v>
      </c>
      <c r="C1171" s="149">
        <v>3170</v>
      </c>
      <c r="D1171" s="149" t="s">
        <v>3315</v>
      </c>
      <c r="E1171" s="149" t="s">
        <v>3316</v>
      </c>
      <c r="F1171" s="149" t="s">
        <v>280</v>
      </c>
      <c r="G1171" s="149" t="s">
        <v>143</v>
      </c>
      <c r="H1171" s="151" t="str">
        <f t="shared" si="91"/>
        <v>1996/07/10</v>
      </c>
      <c r="I1171" s="149" t="s">
        <v>277</v>
      </c>
      <c r="J1171" s="149" t="s">
        <v>534</v>
      </c>
      <c r="K1171" s="101" t="str">
        <f t="shared" si="92"/>
        <v>96</v>
      </c>
      <c r="L1171" s="101" t="str">
        <f t="shared" si="93"/>
        <v>07</v>
      </c>
      <c r="M1171" s="101" t="str">
        <f t="shared" si="94"/>
        <v>10</v>
      </c>
    </row>
    <row r="1172" spans="1:13">
      <c r="A1172" t="str">
        <f t="shared" si="90"/>
        <v>環太平洋大学3171男</v>
      </c>
      <c r="B1172" s="149" t="s">
        <v>2618</v>
      </c>
      <c r="C1172" s="149">
        <v>3171</v>
      </c>
      <c r="D1172" s="149" t="s">
        <v>3317</v>
      </c>
      <c r="E1172" s="149" t="s">
        <v>3318</v>
      </c>
      <c r="F1172" s="149" t="s">
        <v>280</v>
      </c>
      <c r="G1172" s="149" t="s">
        <v>143</v>
      </c>
      <c r="H1172" s="151" t="str">
        <f t="shared" si="91"/>
        <v>1996/04/08</v>
      </c>
      <c r="I1172" s="149" t="s">
        <v>269</v>
      </c>
      <c r="J1172" s="149" t="s">
        <v>710</v>
      </c>
      <c r="K1172" s="101" t="str">
        <f t="shared" si="92"/>
        <v>96</v>
      </c>
      <c r="L1172" s="101" t="str">
        <f t="shared" si="93"/>
        <v>04</v>
      </c>
      <c r="M1172" s="101" t="str">
        <f t="shared" si="94"/>
        <v>08</v>
      </c>
    </row>
    <row r="1173" spans="1:13">
      <c r="A1173" t="str">
        <f t="shared" si="90"/>
        <v>環太平洋大学3172男</v>
      </c>
      <c r="B1173" s="149" t="s">
        <v>2618</v>
      </c>
      <c r="C1173" s="149">
        <v>3172</v>
      </c>
      <c r="D1173" s="149" t="s">
        <v>3319</v>
      </c>
      <c r="E1173" s="149" t="s">
        <v>3320</v>
      </c>
      <c r="F1173" s="149" t="s">
        <v>280</v>
      </c>
      <c r="G1173" s="149" t="s">
        <v>143</v>
      </c>
      <c r="H1173" s="151" t="str">
        <f t="shared" si="91"/>
        <v>1997/03/04</v>
      </c>
      <c r="I1173" s="149" t="s">
        <v>295</v>
      </c>
      <c r="J1173" s="149" t="s">
        <v>807</v>
      </c>
      <c r="K1173" s="101" t="str">
        <f t="shared" si="92"/>
        <v>97</v>
      </c>
      <c r="L1173" s="101" t="str">
        <f t="shared" si="93"/>
        <v>03</v>
      </c>
      <c r="M1173" s="101" t="str">
        <f t="shared" si="94"/>
        <v>04</v>
      </c>
    </row>
    <row r="1174" spans="1:13">
      <c r="A1174" t="str">
        <f t="shared" si="90"/>
        <v>環太平洋大学3173男</v>
      </c>
      <c r="B1174" s="149" t="s">
        <v>2618</v>
      </c>
      <c r="C1174" s="149">
        <v>3173</v>
      </c>
      <c r="D1174" s="149" t="s">
        <v>3321</v>
      </c>
      <c r="E1174" s="149" t="s">
        <v>3322</v>
      </c>
      <c r="F1174" s="149" t="s">
        <v>280</v>
      </c>
      <c r="G1174" s="149" t="s">
        <v>143</v>
      </c>
      <c r="H1174" s="151" t="str">
        <f t="shared" si="91"/>
        <v>1996/12/31</v>
      </c>
      <c r="I1174" s="149" t="s">
        <v>281</v>
      </c>
      <c r="J1174" s="149" t="s">
        <v>3944</v>
      </c>
      <c r="K1174" s="101" t="str">
        <f t="shared" si="92"/>
        <v>96</v>
      </c>
      <c r="L1174" s="101" t="str">
        <f t="shared" si="93"/>
        <v>12</v>
      </c>
      <c r="M1174" s="101" t="str">
        <f t="shared" si="94"/>
        <v>31</v>
      </c>
    </row>
    <row r="1175" spans="1:13">
      <c r="A1175" t="str">
        <f t="shared" si="90"/>
        <v>環太平洋大学3174男</v>
      </c>
      <c r="B1175" s="149" t="s">
        <v>2618</v>
      </c>
      <c r="C1175" s="149">
        <v>3174</v>
      </c>
      <c r="D1175" s="149" t="s">
        <v>3323</v>
      </c>
      <c r="E1175" s="149" t="s">
        <v>3324</v>
      </c>
      <c r="F1175" s="149" t="s">
        <v>280</v>
      </c>
      <c r="G1175" s="149" t="s">
        <v>143</v>
      </c>
      <c r="H1175" s="151" t="str">
        <f t="shared" si="91"/>
        <v>1996/10/29</v>
      </c>
      <c r="I1175" s="149" t="s">
        <v>289</v>
      </c>
      <c r="J1175" s="149" t="s">
        <v>695</v>
      </c>
      <c r="K1175" s="101" t="str">
        <f t="shared" si="92"/>
        <v>96</v>
      </c>
      <c r="L1175" s="101" t="str">
        <f t="shared" si="93"/>
        <v>10</v>
      </c>
      <c r="M1175" s="101" t="str">
        <f t="shared" si="94"/>
        <v>29</v>
      </c>
    </row>
    <row r="1176" spans="1:13">
      <c r="A1176" t="str">
        <f t="shared" si="90"/>
        <v>鳥取大学3175男</v>
      </c>
      <c r="B1176" s="149" t="s">
        <v>2555</v>
      </c>
      <c r="C1176" s="149">
        <v>3175</v>
      </c>
      <c r="D1176" s="149" t="s">
        <v>3325</v>
      </c>
      <c r="E1176" s="149" t="s">
        <v>3326</v>
      </c>
      <c r="F1176" s="149" t="s">
        <v>260</v>
      </c>
      <c r="G1176" s="149" t="s">
        <v>143</v>
      </c>
      <c r="H1176" s="151" t="str">
        <f t="shared" si="91"/>
        <v>1992/01/27</v>
      </c>
      <c r="I1176" s="149" t="s">
        <v>302</v>
      </c>
      <c r="J1176" s="149" t="s">
        <v>3974</v>
      </c>
      <c r="K1176" s="101" t="str">
        <f t="shared" si="92"/>
        <v>92</v>
      </c>
      <c r="L1176" s="101" t="str">
        <f t="shared" si="93"/>
        <v>01</v>
      </c>
      <c r="M1176" s="101" t="str">
        <f t="shared" si="94"/>
        <v>27</v>
      </c>
    </row>
    <row r="1177" spans="1:13">
      <c r="A1177" t="str">
        <f t="shared" si="90"/>
        <v>鳥取大学3176男</v>
      </c>
      <c r="B1177" s="149" t="s">
        <v>2555</v>
      </c>
      <c r="C1177" s="149">
        <v>3176</v>
      </c>
      <c r="D1177" s="149" t="s">
        <v>3327</v>
      </c>
      <c r="E1177" s="149" t="s">
        <v>3328</v>
      </c>
      <c r="F1177" s="149" t="s">
        <v>262</v>
      </c>
      <c r="G1177" s="149" t="s">
        <v>143</v>
      </c>
      <c r="H1177" s="151" t="str">
        <f t="shared" si="91"/>
        <v>1992/03/18</v>
      </c>
      <c r="I1177" s="149" t="s">
        <v>277</v>
      </c>
      <c r="J1177" s="149" t="s">
        <v>3975</v>
      </c>
      <c r="K1177" s="101" t="str">
        <f t="shared" si="92"/>
        <v>92</v>
      </c>
      <c r="L1177" s="101" t="str">
        <f t="shared" si="93"/>
        <v>03</v>
      </c>
      <c r="M1177" s="101" t="str">
        <f t="shared" si="94"/>
        <v>18</v>
      </c>
    </row>
    <row r="1178" spans="1:13">
      <c r="A1178" t="str">
        <f t="shared" si="90"/>
        <v>広島工業大学3177男</v>
      </c>
      <c r="B1178" s="149" t="s">
        <v>1142</v>
      </c>
      <c r="C1178" s="149">
        <v>3177</v>
      </c>
      <c r="D1178" s="149" t="s">
        <v>3329</v>
      </c>
      <c r="E1178" s="149" t="s">
        <v>3330</v>
      </c>
      <c r="F1178" s="149" t="s">
        <v>280</v>
      </c>
      <c r="G1178" s="149" t="s">
        <v>143</v>
      </c>
      <c r="H1178" s="151" t="str">
        <f t="shared" si="91"/>
        <v>1996/06/17</v>
      </c>
      <c r="I1178" s="149" t="s">
        <v>295</v>
      </c>
      <c r="J1178" s="149" t="s">
        <v>919</v>
      </c>
      <c r="K1178" s="101" t="str">
        <f t="shared" si="92"/>
        <v>96</v>
      </c>
      <c r="L1178" s="101" t="str">
        <f t="shared" si="93"/>
        <v>06</v>
      </c>
      <c r="M1178" s="101" t="str">
        <f t="shared" si="94"/>
        <v>17</v>
      </c>
    </row>
    <row r="1179" spans="1:13">
      <c r="A1179" t="str">
        <f t="shared" si="90"/>
        <v>広島工業大学3178男</v>
      </c>
      <c r="B1179" s="149" t="s">
        <v>1142</v>
      </c>
      <c r="C1179" s="149">
        <v>3178</v>
      </c>
      <c r="D1179" s="149" t="s">
        <v>3331</v>
      </c>
      <c r="E1179" s="149" t="s">
        <v>3332</v>
      </c>
      <c r="F1179" s="149" t="s">
        <v>280</v>
      </c>
      <c r="G1179" s="149" t="s">
        <v>143</v>
      </c>
      <c r="H1179" s="151" t="str">
        <f t="shared" si="91"/>
        <v>1997/03/30</v>
      </c>
      <c r="I1179" s="149" t="s">
        <v>295</v>
      </c>
      <c r="J1179" s="149" t="s">
        <v>3976</v>
      </c>
      <c r="K1179" s="101" t="str">
        <f t="shared" si="92"/>
        <v>97</v>
      </c>
      <c r="L1179" s="101" t="str">
        <f t="shared" si="93"/>
        <v>03</v>
      </c>
      <c r="M1179" s="101" t="str">
        <f t="shared" si="94"/>
        <v>30</v>
      </c>
    </row>
    <row r="1180" spans="1:13">
      <c r="A1180" t="str">
        <f t="shared" si="90"/>
        <v>広島工業大学3179男</v>
      </c>
      <c r="B1180" s="149" t="s">
        <v>1142</v>
      </c>
      <c r="C1180" s="149">
        <v>3179</v>
      </c>
      <c r="D1180" s="149" t="s">
        <v>3333</v>
      </c>
      <c r="E1180" s="149" t="s">
        <v>3334</v>
      </c>
      <c r="F1180" s="149" t="s">
        <v>280</v>
      </c>
      <c r="G1180" s="149" t="s">
        <v>143</v>
      </c>
      <c r="H1180" s="151" t="str">
        <f t="shared" si="91"/>
        <v>1996/12/31</v>
      </c>
      <c r="I1180" s="149" t="s">
        <v>281</v>
      </c>
      <c r="J1180" s="149" t="s">
        <v>3944</v>
      </c>
      <c r="K1180" s="101" t="str">
        <f t="shared" si="92"/>
        <v>96</v>
      </c>
      <c r="L1180" s="101" t="str">
        <f t="shared" si="93"/>
        <v>12</v>
      </c>
      <c r="M1180" s="101" t="str">
        <f t="shared" si="94"/>
        <v>31</v>
      </c>
    </row>
    <row r="1181" spans="1:13">
      <c r="A1181" t="str">
        <f t="shared" si="90"/>
        <v>広島工業大学3180男</v>
      </c>
      <c r="B1181" s="149" t="s">
        <v>1142</v>
      </c>
      <c r="C1181" s="149">
        <v>3180</v>
      </c>
      <c r="D1181" s="149" t="s">
        <v>3335</v>
      </c>
      <c r="E1181" s="149" t="s">
        <v>3336</v>
      </c>
      <c r="F1181" s="149" t="s">
        <v>280</v>
      </c>
      <c r="G1181" s="149" t="s">
        <v>143</v>
      </c>
      <c r="H1181" s="151" t="str">
        <f t="shared" si="91"/>
        <v>1996/09/06</v>
      </c>
      <c r="I1181" s="149" t="s">
        <v>295</v>
      </c>
      <c r="J1181" s="149" t="s">
        <v>698</v>
      </c>
      <c r="K1181" s="101" t="str">
        <f t="shared" si="92"/>
        <v>96</v>
      </c>
      <c r="L1181" s="101" t="str">
        <f t="shared" si="93"/>
        <v>09</v>
      </c>
      <c r="M1181" s="101" t="str">
        <f t="shared" si="94"/>
        <v>06</v>
      </c>
    </row>
    <row r="1182" spans="1:13">
      <c r="A1182" t="str">
        <f t="shared" si="90"/>
        <v>広島工業大学3181男</v>
      </c>
      <c r="B1182" s="149" t="s">
        <v>1142</v>
      </c>
      <c r="C1182" s="149">
        <v>3181</v>
      </c>
      <c r="D1182" s="149" t="s">
        <v>3337</v>
      </c>
      <c r="E1182" s="149" t="s">
        <v>3338</v>
      </c>
      <c r="F1182" s="149" t="s">
        <v>280</v>
      </c>
      <c r="G1182" s="149" t="s">
        <v>143</v>
      </c>
      <c r="H1182" s="151" t="str">
        <f t="shared" si="91"/>
        <v>1997/02/09</v>
      </c>
      <c r="I1182" s="149" t="s">
        <v>301</v>
      </c>
      <c r="J1182" s="149" t="s">
        <v>3977</v>
      </c>
      <c r="K1182" s="101" t="str">
        <f t="shared" si="92"/>
        <v>97</v>
      </c>
      <c r="L1182" s="101" t="str">
        <f t="shared" si="93"/>
        <v>02</v>
      </c>
      <c r="M1182" s="101" t="str">
        <f t="shared" si="94"/>
        <v>09</v>
      </c>
    </row>
    <row r="1183" spans="1:13">
      <c r="A1183" t="str">
        <f t="shared" si="90"/>
        <v>広島工業大学3182男</v>
      </c>
      <c r="B1183" s="149" t="s">
        <v>1142</v>
      </c>
      <c r="C1183" s="149">
        <v>3182</v>
      </c>
      <c r="D1183" s="149" t="s">
        <v>3339</v>
      </c>
      <c r="E1183" s="149" t="s">
        <v>3340</v>
      </c>
      <c r="F1183" s="149" t="s">
        <v>280</v>
      </c>
      <c r="G1183" s="149" t="s">
        <v>143</v>
      </c>
      <c r="H1183" s="151" t="str">
        <f t="shared" si="91"/>
        <v>1997/03/29</v>
      </c>
      <c r="I1183" s="149" t="s">
        <v>295</v>
      </c>
      <c r="J1183" s="149" t="s">
        <v>3939</v>
      </c>
      <c r="K1183" s="101" t="str">
        <f t="shared" si="92"/>
        <v>97</v>
      </c>
      <c r="L1183" s="101" t="str">
        <f t="shared" si="93"/>
        <v>03</v>
      </c>
      <c r="M1183" s="101" t="str">
        <f t="shared" si="94"/>
        <v>29</v>
      </c>
    </row>
    <row r="1184" spans="1:13">
      <c r="A1184" t="str">
        <f t="shared" si="90"/>
        <v>広島工業大学3183男</v>
      </c>
      <c r="B1184" s="149" t="s">
        <v>1142</v>
      </c>
      <c r="C1184" s="149">
        <v>3183</v>
      </c>
      <c r="D1184" s="149" t="s">
        <v>3341</v>
      </c>
      <c r="E1184" s="149" t="s">
        <v>3342</v>
      </c>
      <c r="F1184" s="149" t="s">
        <v>280</v>
      </c>
      <c r="G1184" s="149" t="s">
        <v>143</v>
      </c>
      <c r="H1184" s="151" t="str">
        <f t="shared" si="91"/>
        <v>1997/02/01</v>
      </c>
      <c r="I1184" s="149" t="s">
        <v>295</v>
      </c>
      <c r="J1184" s="149" t="s">
        <v>738</v>
      </c>
      <c r="K1184" s="101" t="str">
        <f t="shared" si="92"/>
        <v>97</v>
      </c>
      <c r="L1184" s="101" t="str">
        <f t="shared" si="93"/>
        <v>02</v>
      </c>
      <c r="M1184" s="101" t="str">
        <f t="shared" si="94"/>
        <v>01</v>
      </c>
    </row>
    <row r="1185" spans="1:13">
      <c r="A1185" t="str">
        <f t="shared" si="90"/>
        <v>広島工業大学3184男</v>
      </c>
      <c r="B1185" s="149" t="s">
        <v>1142</v>
      </c>
      <c r="C1185" s="149">
        <v>3184</v>
      </c>
      <c r="D1185" s="149" t="s">
        <v>3343</v>
      </c>
      <c r="E1185" s="149" t="s">
        <v>3344</v>
      </c>
      <c r="F1185" s="149" t="s">
        <v>280</v>
      </c>
      <c r="G1185" s="149" t="s">
        <v>143</v>
      </c>
      <c r="H1185" s="151" t="str">
        <f t="shared" si="91"/>
        <v>1996/12/20</v>
      </c>
      <c r="I1185" s="149" t="s">
        <v>295</v>
      </c>
      <c r="J1185" s="149" t="s">
        <v>708</v>
      </c>
      <c r="K1185" s="101" t="str">
        <f t="shared" si="92"/>
        <v>96</v>
      </c>
      <c r="L1185" s="101" t="str">
        <f t="shared" si="93"/>
        <v>12</v>
      </c>
      <c r="M1185" s="101" t="str">
        <f t="shared" si="94"/>
        <v>20</v>
      </c>
    </row>
    <row r="1186" spans="1:13">
      <c r="A1186" t="str">
        <f t="shared" si="90"/>
        <v>広島工業大学3185男</v>
      </c>
      <c r="B1186" s="149" t="s">
        <v>1142</v>
      </c>
      <c r="C1186" s="149">
        <v>3185</v>
      </c>
      <c r="D1186" s="149" t="s">
        <v>3345</v>
      </c>
      <c r="E1186" s="149" t="s">
        <v>3346</v>
      </c>
      <c r="F1186" s="149" t="s">
        <v>280</v>
      </c>
      <c r="G1186" s="149" t="s">
        <v>143</v>
      </c>
      <c r="H1186" s="151" t="str">
        <f t="shared" si="91"/>
        <v>1995/11/12</v>
      </c>
      <c r="I1186" s="149" t="s">
        <v>295</v>
      </c>
      <c r="J1186" s="149" t="s">
        <v>3850</v>
      </c>
      <c r="K1186" s="101" t="str">
        <f t="shared" si="92"/>
        <v>95</v>
      </c>
      <c r="L1186" s="101" t="str">
        <f t="shared" si="93"/>
        <v>11</v>
      </c>
      <c r="M1186" s="101" t="str">
        <f t="shared" si="94"/>
        <v>12</v>
      </c>
    </row>
    <row r="1187" spans="1:13">
      <c r="A1187" t="str">
        <f t="shared" si="90"/>
        <v>広島工業大学3186男</v>
      </c>
      <c r="B1187" s="149" t="s">
        <v>1142</v>
      </c>
      <c r="C1187" s="149">
        <v>3186</v>
      </c>
      <c r="D1187" s="149" t="s">
        <v>3347</v>
      </c>
      <c r="E1187" s="149" t="s">
        <v>3348</v>
      </c>
      <c r="F1187" s="149" t="s">
        <v>280</v>
      </c>
      <c r="G1187" s="149" t="s">
        <v>143</v>
      </c>
      <c r="H1187" s="151" t="str">
        <f t="shared" si="91"/>
        <v>1996/05/25</v>
      </c>
      <c r="I1187" s="149" t="s">
        <v>295</v>
      </c>
      <c r="J1187" s="149" t="s">
        <v>3978</v>
      </c>
      <c r="K1187" s="101" t="str">
        <f t="shared" si="92"/>
        <v>96</v>
      </c>
      <c r="L1187" s="101" t="str">
        <f t="shared" si="93"/>
        <v>05</v>
      </c>
      <c r="M1187" s="101" t="str">
        <f t="shared" si="94"/>
        <v>25</v>
      </c>
    </row>
    <row r="1188" spans="1:13">
      <c r="A1188" t="str">
        <f t="shared" si="90"/>
        <v>広島工業大学3187男</v>
      </c>
      <c r="B1188" s="149" t="s">
        <v>1142</v>
      </c>
      <c r="C1188" s="149">
        <v>3187</v>
      </c>
      <c r="D1188" s="149" t="s">
        <v>3349</v>
      </c>
      <c r="E1188" s="149" t="s">
        <v>3350</v>
      </c>
      <c r="F1188" s="149" t="s">
        <v>280</v>
      </c>
      <c r="G1188" s="149" t="s">
        <v>143</v>
      </c>
      <c r="H1188" s="151" t="str">
        <f t="shared" si="91"/>
        <v>1996/06/30</v>
      </c>
      <c r="I1188" s="149" t="s">
        <v>301</v>
      </c>
      <c r="J1188" s="149" t="s">
        <v>3957</v>
      </c>
      <c r="K1188" s="101" t="str">
        <f t="shared" si="92"/>
        <v>96</v>
      </c>
      <c r="L1188" s="101" t="str">
        <f t="shared" si="93"/>
        <v>06</v>
      </c>
      <c r="M1188" s="101" t="str">
        <f t="shared" si="94"/>
        <v>30</v>
      </c>
    </row>
    <row r="1189" spans="1:13">
      <c r="A1189" t="str">
        <f t="shared" si="90"/>
        <v>広島修道大学3188男</v>
      </c>
      <c r="B1189" s="149" t="s">
        <v>2033</v>
      </c>
      <c r="C1189" s="149">
        <v>3188</v>
      </c>
      <c r="D1189" s="149" t="s">
        <v>3351</v>
      </c>
      <c r="E1189" s="149" t="s">
        <v>3352</v>
      </c>
      <c r="F1189" s="149" t="s">
        <v>280</v>
      </c>
      <c r="G1189" s="149" t="s">
        <v>143</v>
      </c>
      <c r="H1189" s="151" t="str">
        <f t="shared" si="91"/>
        <v>1996/08/29</v>
      </c>
      <c r="I1189" s="149" t="s">
        <v>281</v>
      </c>
      <c r="J1189" s="149" t="s">
        <v>937</v>
      </c>
      <c r="K1189" s="101" t="str">
        <f t="shared" si="92"/>
        <v>96</v>
      </c>
      <c r="L1189" s="101" t="str">
        <f t="shared" si="93"/>
        <v>08</v>
      </c>
      <c r="M1189" s="101" t="str">
        <f t="shared" si="94"/>
        <v>29</v>
      </c>
    </row>
    <row r="1190" spans="1:13">
      <c r="A1190" t="str">
        <f t="shared" si="90"/>
        <v>広島修道大学3189男</v>
      </c>
      <c r="B1190" s="149" t="s">
        <v>2033</v>
      </c>
      <c r="C1190" s="149">
        <v>3189</v>
      </c>
      <c r="D1190" s="149" t="s">
        <v>3353</v>
      </c>
      <c r="E1190" s="149" t="s">
        <v>3354</v>
      </c>
      <c r="F1190" s="149" t="s">
        <v>280</v>
      </c>
      <c r="G1190" s="149" t="s">
        <v>143</v>
      </c>
      <c r="H1190" s="151" t="str">
        <f t="shared" si="91"/>
        <v>1997/03/21</v>
      </c>
      <c r="I1190" s="149" t="s">
        <v>295</v>
      </c>
      <c r="J1190" s="149" t="s">
        <v>938</v>
      </c>
      <c r="K1190" s="101" t="str">
        <f t="shared" si="92"/>
        <v>97</v>
      </c>
      <c r="L1190" s="101" t="str">
        <f t="shared" si="93"/>
        <v>03</v>
      </c>
      <c r="M1190" s="101" t="str">
        <f t="shared" si="94"/>
        <v>21</v>
      </c>
    </row>
    <row r="1191" spans="1:13">
      <c r="A1191" t="str">
        <f t="shared" si="90"/>
        <v>広島修道大学3190男</v>
      </c>
      <c r="B1191" s="149" t="s">
        <v>2033</v>
      </c>
      <c r="C1191" s="149">
        <v>3190</v>
      </c>
      <c r="D1191" s="149" t="s">
        <v>3355</v>
      </c>
      <c r="E1191" s="149" t="s">
        <v>3356</v>
      </c>
      <c r="F1191" s="149" t="s">
        <v>280</v>
      </c>
      <c r="G1191" s="149" t="s">
        <v>143</v>
      </c>
      <c r="H1191" s="151" t="str">
        <f t="shared" si="91"/>
        <v>1996/07/13</v>
      </c>
      <c r="I1191" s="149" t="s">
        <v>301</v>
      </c>
      <c r="J1191" s="149" t="s">
        <v>647</v>
      </c>
      <c r="K1191" s="101" t="str">
        <f t="shared" si="92"/>
        <v>96</v>
      </c>
      <c r="L1191" s="101" t="str">
        <f t="shared" si="93"/>
        <v>07</v>
      </c>
      <c r="M1191" s="101" t="str">
        <f t="shared" si="94"/>
        <v>13</v>
      </c>
    </row>
    <row r="1192" spans="1:13">
      <c r="A1192" t="str">
        <f t="shared" si="90"/>
        <v>福山平成大学3191男</v>
      </c>
      <c r="B1192" s="149" t="s">
        <v>2030</v>
      </c>
      <c r="C1192" s="149">
        <v>3191</v>
      </c>
      <c r="D1192" s="149" t="s">
        <v>3357</v>
      </c>
      <c r="E1192" s="149" t="s">
        <v>3358</v>
      </c>
      <c r="F1192" s="149" t="s">
        <v>280</v>
      </c>
      <c r="G1192" s="149" t="s">
        <v>143</v>
      </c>
      <c r="H1192" s="151" t="str">
        <f t="shared" si="91"/>
        <v>1996/04/22</v>
      </c>
      <c r="I1192" s="149" t="s">
        <v>295</v>
      </c>
      <c r="J1192" s="149" t="s">
        <v>768</v>
      </c>
      <c r="K1192" s="101" t="str">
        <f t="shared" si="92"/>
        <v>96</v>
      </c>
      <c r="L1192" s="101" t="str">
        <f t="shared" si="93"/>
        <v>04</v>
      </c>
      <c r="M1192" s="101" t="str">
        <f t="shared" si="94"/>
        <v>22</v>
      </c>
    </row>
    <row r="1193" spans="1:13">
      <c r="A1193" t="str">
        <f t="shared" si="90"/>
        <v>福山平成大学3192男</v>
      </c>
      <c r="B1193" s="149" t="s">
        <v>2030</v>
      </c>
      <c r="C1193" s="149">
        <v>3192</v>
      </c>
      <c r="D1193" s="149" t="s">
        <v>3359</v>
      </c>
      <c r="E1193" s="149" t="s">
        <v>3360</v>
      </c>
      <c r="F1193" s="149" t="s">
        <v>280</v>
      </c>
      <c r="G1193" s="149" t="s">
        <v>143</v>
      </c>
      <c r="H1193" s="151" t="str">
        <f t="shared" si="91"/>
        <v>1996/07/21</v>
      </c>
      <c r="I1193" s="149" t="s">
        <v>295</v>
      </c>
      <c r="J1193" s="149" t="s">
        <v>724</v>
      </c>
      <c r="K1193" s="101" t="str">
        <f t="shared" si="92"/>
        <v>96</v>
      </c>
      <c r="L1193" s="101" t="str">
        <f t="shared" si="93"/>
        <v>07</v>
      </c>
      <c r="M1193" s="101" t="str">
        <f t="shared" si="94"/>
        <v>21</v>
      </c>
    </row>
    <row r="1194" spans="1:13">
      <c r="A1194" t="str">
        <f t="shared" si="90"/>
        <v>松山大学3193男</v>
      </c>
      <c r="B1194" s="149" t="s">
        <v>2840</v>
      </c>
      <c r="C1194" s="149">
        <v>3193</v>
      </c>
      <c r="D1194" s="149" t="s">
        <v>3361</v>
      </c>
      <c r="E1194" s="149" t="s">
        <v>3362</v>
      </c>
      <c r="F1194" s="149" t="s">
        <v>280</v>
      </c>
      <c r="G1194" s="149" t="s">
        <v>143</v>
      </c>
      <c r="H1194" s="151" t="str">
        <f t="shared" si="91"/>
        <v>1997/01/31</v>
      </c>
      <c r="I1194" s="149" t="s">
        <v>281</v>
      </c>
      <c r="J1194" s="149" t="s">
        <v>828</v>
      </c>
      <c r="K1194" s="101" t="str">
        <f t="shared" si="92"/>
        <v>97</v>
      </c>
      <c r="L1194" s="101" t="str">
        <f t="shared" si="93"/>
        <v>01</v>
      </c>
      <c r="M1194" s="101" t="str">
        <f t="shared" si="94"/>
        <v>31</v>
      </c>
    </row>
    <row r="1195" spans="1:13">
      <c r="A1195" t="str">
        <f t="shared" si="90"/>
        <v>松山大学3194男</v>
      </c>
      <c r="B1195" s="149" t="s">
        <v>2840</v>
      </c>
      <c r="C1195" s="149">
        <v>3194</v>
      </c>
      <c r="D1195" s="149" t="s">
        <v>3363</v>
      </c>
      <c r="E1195" s="149" t="s">
        <v>3364</v>
      </c>
      <c r="F1195" s="149" t="s">
        <v>280</v>
      </c>
      <c r="G1195" s="149" t="s">
        <v>143</v>
      </c>
      <c r="H1195" s="151" t="str">
        <f t="shared" si="91"/>
        <v>1996/06/15</v>
      </c>
      <c r="I1195" s="149" t="s">
        <v>281</v>
      </c>
      <c r="J1195" s="149" t="s">
        <v>3938</v>
      </c>
      <c r="K1195" s="101" t="str">
        <f t="shared" si="92"/>
        <v>96</v>
      </c>
      <c r="L1195" s="101" t="str">
        <f t="shared" si="93"/>
        <v>06</v>
      </c>
      <c r="M1195" s="101" t="str">
        <f t="shared" si="94"/>
        <v>15</v>
      </c>
    </row>
    <row r="1196" spans="1:13">
      <c r="A1196" t="str">
        <f t="shared" si="90"/>
        <v>松山大学3195男</v>
      </c>
      <c r="B1196" s="149" t="s">
        <v>2840</v>
      </c>
      <c r="C1196" s="149">
        <v>3195</v>
      </c>
      <c r="D1196" s="149" t="s">
        <v>3365</v>
      </c>
      <c r="E1196" s="149" t="s">
        <v>3366</v>
      </c>
      <c r="F1196" s="149" t="s">
        <v>280</v>
      </c>
      <c r="G1196" s="149" t="s">
        <v>143</v>
      </c>
      <c r="H1196" s="151" t="str">
        <f t="shared" si="91"/>
        <v>1996/07/28</v>
      </c>
      <c r="I1196" s="149" t="s">
        <v>295</v>
      </c>
      <c r="J1196" s="149" t="s">
        <v>3979</v>
      </c>
      <c r="K1196" s="101" t="str">
        <f t="shared" si="92"/>
        <v>96</v>
      </c>
      <c r="L1196" s="101" t="str">
        <f t="shared" si="93"/>
        <v>07</v>
      </c>
      <c r="M1196" s="101" t="str">
        <f t="shared" si="94"/>
        <v>28</v>
      </c>
    </row>
    <row r="1197" spans="1:13">
      <c r="A1197" t="str">
        <f t="shared" si="90"/>
        <v>松山大学3196男</v>
      </c>
      <c r="B1197" s="149" t="s">
        <v>2840</v>
      </c>
      <c r="C1197" s="149">
        <v>3196</v>
      </c>
      <c r="D1197" s="149" t="s">
        <v>3367</v>
      </c>
      <c r="E1197" s="149" t="s">
        <v>3368</v>
      </c>
      <c r="F1197" s="149" t="s">
        <v>280</v>
      </c>
      <c r="G1197" s="149" t="s">
        <v>143</v>
      </c>
      <c r="H1197" s="151" t="str">
        <f t="shared" si="91"/>
        <v>1996/08/22</v>
      </c>
      <c r="I1197" s="149" t="s">
        <v>281</v>
      </c>
      <c r="J1197" s="149" t="s">
        <v>740</v>
      </c>
      <c r="K1197" s="101" t="str">
        <f t="shared" si="92"/>
        <v>96</v>
      </c>
      <c r="L1197" s="101" t="str">
        <f t="shared" si="93"/>
        <v>08</v>
      </c>
      <c r="M1197" s="101" t="str">
        <f t="shared" si="94"/>
        <v>22</v>
      </c>
    </row>
    <row r="1198" spans="1:13">
      <c r="A1198" t="str">
        <f t="shared" si="90"/>
        <v>松山大学3197男</v>
      </c>
      <c r="B1198" s="149" t="s">
        <v>2840</v>
      </c>
      <c r="C1198" s="149">
        <v>3197</v>
      </c>
      <c r="D1198" s="149" t="s">
        <v>3369</v>
      </c>
      <c r="E1198" s="149" t="s">
        <v>3370</v>
      </c>
      <c r="F1198" s="149" t="s">
        <v>280</v>
      </c>
      <c r="G1198" s="149" t="s">
        <v>143</v>
      </c>
      <c r="H1198" s="151" t="str">
        <f t="shared" si="91"/>
        <v>1997/01/20</v>
      </c>
      <c r="I1198" s="149" t="s">
        <v>281</v>
      </c>
      <c r="J1198" s="149" t="s">
        <v>711</v>
      </c>
      <c r="K1198" s="101" t="str">
        <f t="shared" si="92"/>
        <v>97</v>
      </c>
      <c r="L1198" s="101" t="str">
        <f t="shared" si="93"/>
        <v>01</v>
      </c>
      <c r="M1198" s="101" t="str">
        <f t="shared" si="94"/>
        <v>20</v>
      </c>
    </row>
    <row r="1199" spans="1:13">
      <c r="A1199" t="str">
        <f t="shared" si="90"/>
        <v>松山大学3198男</v>
      </c>
      <c r="B1199" s="149" t="s">
        <v>2840</v>
      </c>
      <c r="C1199" s="149">
        <v>3198</v>
      </c>
      <c r="D1199" s="149" t="s">
        <v>3371</v>
      </c>
      <c r="E1199" s="149" t="s">
        <v>3372</v>
      </c>
      <c r="F1199" s="149" t="s">
        <v>280</v>
      </c>
      <c r="G1199" s="149" t="s">
        <v>143</v>
      </c>
      <c r="H1199" s="151" t="str">
        <f t="shared" si="91"/>
        <v>1996/07/24</v>
      </c>
      <c r="I1199" s="149" t="s">
        <v>289</v>
      </c>
      <c r="J1199" s="149" t="s">
        <v>810</v>
      </c>
      <c r="K1199" s="101" t="str">
        <f t="shared" si="92"/>
        <v>96</v>
      </c>
      <c r="L1199" s="101" t="str">
        <f t="shared" si="93"/>
        <v>07</v>
      </c>
      <c r="M1199" s="101" t="str">
        <f t="shared" si="94"/>
        <v>24</v>
      </c>
    </row>
    <row r="1200" spans="1:13">
      <c r="A1200" t="str">
        <f t="shared" si="90"/>
        <v>松山大学3199男</v>
      </c>
      <c r="B1200" s="149" t="s">
        <v>2840</v>
      </c>
      <c r="C1200" s="149">
        <v>3199</v>
      </c>
      <c r="D1200" s="149" t="s">
        <v>3373</v>
      </c>
      <c r="E1200" s="149" t="s">
        <v>3374</v>
      </c>
      <c r="F1200" s="149" t="s">
        <v>280</v>
      </c>
      <c r="G1200" s="149" t="s">
        <v>143</v>
      </c>
      <c r="H1200" s="151" t="str">
        <f t="shared" si="91"/>
        <v>1996/07/02</v>
      </c>
      <c r="I1200" s="149" t="s">
        <v>269</v>
      </c>
      <c r="J1200" s="149" t="s">
        <v>775</v>
      </c>
      <c r="K1200" s="101" t="str">
        <f t="shared" si="92"/>
        <v>96</v>
      </c>
      <c r="L1200" s="101" t="str">
        <f t="shared" si="93"/>
        <v>07</v>
      </c>
      <c r="M1200" s="101" t="str">
        <f t="shared" si="94"/>
        <v>02</v>
      </c>
    </row>
    <row r="1201" spans="1:13">
      <c r="A1201" t="str">
        <f t="shared" si="90"/>
        <v>松山大学3200男</v>
      </c>
      <c r="B1201" s="149" t="s">
        <v>2840</v>
      </c>
      <c r="C1201" s="149">
        <v>3200</v>
      </c>
      <c r="D1201" s="149" t="s">
        <v>3375</v>
      </c>
      <c r="E1201" s="149" t="s">
        <v>3376</v>
      </c>
      <c r="F1201" s="149" t="s">
        <v>280</v>
      </c>
      <c r="G1201" s="149" t="s">
        <v>143</v>
      </c>
      <c r="H1201" s="151" t="str">
        <f t="shared" si="91"/>
        <v>1996/06/10</v>
      </c>
      <c r="I1201" s="149" t="s">
        <v>281</v>
      </c>
      <c r="J1201" s="149" t="s">
        <v>3963</v>
      </c>
      <c r="K1201" s="101" t="str">
        <f t="shared" si="92"/>
        <v>96</v>
      </c>
      <c r="L1201" s="101" t="str">
        <f t="shared" si="93"/>
        <v>06</v>
      </c>
      <c r="M1201" s="101" t="str">
        <f t="shared" si="94"/>
        <v>10</v>
      </c>
    </row>
    <row r="1202" spans="1:13">
      <c r="A1202" t="str">
        <f t="shared" si="90"/>
        <v>松山大学3201男</v>
      </c>
      <c r="B1202" s="149" t="s">
        <v>2840</v>
      </c>
      <c r="C1202" s="149">
        <v>3201</v>
      </c>
      <c r="D1202" s="149" t="s">
        <v>3377</v>
      </c>
      <c r="E1202" s="149" t="s">
        <v>3378</v>
      </c>
      <c r="F1202" s="149" t="s">
        <v>280</v>
      </c>
      <c r="G1202" s="149" t="s">
        <v>143</v>
      </c>
      <c r="H1202" s="151" t="str">
        <f t="shared" si="91"/>
        <v>1996/09/02</v>
      </c>
      <c r="I1202" s="149" t="s">
        <v>281</v>
      </c>
      <c r="J1202" s="149" t="s">
        <v>3980</v>
      </c>
      <c r="K1202" s="101" t="str">
        <f t="shared" si="92"/>
        <v>96</v>
      </c>
      <c r="L1202" s="101" t="str">
        <f t="shared" si="93"/>
        <v>09</v>
      </c>
      <c r="M1202" s="101" t="str">
        <f t="shared" si="94"/>
        <v>02</v>
      </c>
    </row>
    <row r="1203" spans="1:13">
      <c r="A1203" t="str">
        <f t="shared" si="90"/>
        <v>松山大学3202男</v>
      </c>
      <c r="B1203" s="149" t="s">
        <v>2840</v>
      </c>
      <c r="C1203" s="149">
        <v>3202</v>
      </c>
      <c r="D1203" s="149" t="s">
        <v>3379</v>
      </c>
      <c r="E1203" s="149" t="s">
        <v>3380</v>
      </c>
      <c r="F1203" s="149" t="s">
        <v>280</v>
      </c>
      <c r="G1203" s="149" t="s">
        <v>143</v>
      </c>
      <c r="H1203" s="151" t="str">
        <f t="shared" si="91"/>
        <v>1996/05/05</v>
      </c>
      <c r="I1203" s="149" t="s">
        <v>281</v>
      </c>
      <c r="J1203" s="149" t="s">
        <v>3812</v>
      </c>
      <c r="K1203" s="101" t="str">
        <f t="shared" si="92"/>
        <v>96</v>
      </c>
      <c r="L1203" s="101" t="str">
        <f t="shared" si="93"/>
        <v>05</v>
      </c>
      <c r="M1203" s="101" t="str">
        <f t="shared" si="94"/>
        <v>05</v>
      </c>
    </row>
    <row r="1204" spans="1:13">
      <c r="A1204" t="str">
        <f t="shared" si="90"/>
        <v>香川大学3203男</v>
      </c>
      <c r="B1204" s="149" t="s">
        <v>1895</v>
      </c>
      <c r="C1204" s="149">
        <v>3203</v>
      </c>
      <c r="D1204" s="149" t="s">
        <v>3381</v>
      </c>
      <c r="E1204" s="149" t="s">
        <v>3382</v>
      </c>
      <c r="F1204" s="149" t="s">
        <v>280</v>
      </c>
      <c r="G1204" s="149" t="s">
        <v>143</v>
      </c>
      <c r="H1204" s="151" t="str">
        <f t="shared" si="91"/>
        <v>1996/11/25</v>
      </c>
      <c r="I1204" s="149" t="s">
        <v>289</v>
      </c>
      <c r="J1204" s="149" t="s">
        <v>811</v>
      </c>
      <c r="K1204" s="101" t="str">
        <f t="shared" si="92"/>
        <v>96</v>
      </c>
      <c r="L1204" s="101" t="str">
        <f t="shared" si="93"/>
        <v>11</v>
      </c>
      <c r="M1204" s="101" t="str">
        <f t="shared" si="94"/>
        <v>25</v>
      </c>
    </row>
    <row r="1205" spans="1:13">
      <c r="A1205" t="str">
        <f t="shared" si="90"/>
        <v>香川大学3204男</v>
      </c>
      <c r="B1205" s="149" t="s">
        <v>1895</v>
      </c>
      <c r="C1205" s="149">
        <v>3204</v>
      </c>
      <c r="D1205" s="149" t="s">
        <v>3383</v>
      </c>
      <c r="E1205" s="149" t="s">
        <v>3384</v>
      </c>
      <c r="F1205" s="149" t="s">
        <v>280</v>
      </c>
      <c r="G1205" s="149" t="s">
        <v>143</v>
      </c>
      <c r="H1205" s="151" t="str">
        <f t="shared" si="91"/>
        <v>1997/01/09</v>
      </c>
      <c r="I1205" s="149" t="s">
        <v>289</v>
      </c>
      <c r="J1205" s="149" t="s">
        <v>940</v>
      </c>
      <c r="K1205" s="101" t="str">
        <f t="shared" si="92"/>
        <v>97</v>
      </c>
      <c r="L1205" s="101" t="str">
        <f t="shared" si="93"/>
        <v>01</v>
      </c>
      <c r="M1205" s="101" t="str">
        <f t="shared" si="94"/>
        <v>09</v>
      </c>
    </row>
    <row r="1206" spans="1:13">
      <c r="A1206" t="str">
        <f t="shared" si="90"/>
        <v>香川大学3205男</v>
      </c>
      <c r="B1206" s="149" t="s">
        <v>1895</v>
      </c>
      <c r="C1206" s="149">
        <v>3205</v>
      </c>
      <c r="D1206" s="149" t="s">
        <v>271</v>
      </c>
      <c r="E1206" s="149" t="s">
        <v>272</v>
      </c>
      <c r="F1206" s="149" t="s">
        <v>264</v>
      </c>
      <c r="G1206" s="149" t="s">
        <v>143</v>
      </c>
      <c r="H1206" s="151" t="str">
        <f t="shared" si="91"/>
        <v>1992/09/20</v>
      </c>
      <c r="I1206" s="149" t="s">
        <v>289</v>
      </c>
      <c r="J1206" s="149" t="s">
        <v>3981</v>
      </c>
      <c r="K1206" s="101" t="str">
        <f t="shared" si="92"/>
        <v>92</v>
      </c>
      <c r="L1206" s="101" t="str">
        <f t="shared" si="93"/>
        <v>09</v>
      </c>
      <c r="M1206" s="101" t="str">
        <f t="shared" si="94"/>
        <v>20</v>
      </c>
    </row>
    <row r="1207" spans="1:13">
      <c r="A1207" t="str">
        <f t="shared" si="90"/>
        <v>広島大学3206男</v>
      </c>
      <c r="B1207" s="149" t="s">
        <v>1364</v>
      </c>
      <c r="C1207" s="149">
        <v>3206</v>
      </c>
      <c r="D1207" s="149" t="s">
        <v>3385</v>
      </c>
      <c r="E1207" s="149" t="s">
        <v>3386</v>
      </c>
      <c r="F1207" s="149" t="s">
        <v>280</v>
      </c>
      <c r="G1207" s="149" t="s">
        <v>143</v>
      </c>
      <c r="H1207" s="151" t="str">
        <f t="shared" si="91"/>
        <v>1996/10/29</v>
      </c>
      <c r="I1207" s="149" t="s">
        <v>301</v>
      </c>
      <c r="J1207" s="149" t="s">
        <v>695</v>
      </c>
      <c r="K1207" s="101" t="str">
        <f t="shared" si="92"/>
        <v>96</v>
      </c>
      <c r="L1207" s="101" t="str">
        <f t="shared" si="93"/>
        <v>10</v>
      </c>
      <c r="M1207" s="101" t="str">
        <f t="shared" si="94"/>
        <v>29</v>
      </c>
    </row>
    <row r="1208" spans="1:13">
      <c r="A1208" t="str">
        <f t="shared" si="90"/>
        <v>広島大学3207男</v>
      </c>
      <c r="B1208" s="149" t="s">
        <v>1364</v>
      </c>
      <c r="C1208" s="149">
        <v>3207</v>
      </c>
      <c r="D1208" s="149" t="s">
        <v>3387</v>
      </c>
      <c r="E1208" s="149" t="s">
        <v>3388</v>
      </c>
      <c r="F1208" s="149" t="s">
        <v>280</v>
      </c>
      <c r="G1208" s="149" t="s">
        <v>143</v>
      </c>
      <c r="H1208" s="151" t="str">
        <f t="shared" si="91"/>
        <v>1995/11/21</v>
      </c>
      <c r="I1208" s="149" t="s">
        <v>295</v>
      </c>
      <c r="J1208" s="149" t="s">
        <v>612</v>
      </c>
      <c r="K1208" s="101" t="str">
        <f t="shared" si="92"/>
        <v>95</v>
      </c>
      <c r="L1208" s="101" t="str">
        <f t="shared" si="93"/>
        <v>11</v>
      </c>
      <c r="M1208" s="101" t="str">
        <f t="shared" si="94"/>
        <v>21</v>
      </c>
    </row>
    <row r="1209" spans="1:13">
      <c r="A1209" t="str">
        <f t="shared" si="90"/>
        <v>広島大学3208男</v>
      </c>
      <c r="B1209" s="149" t="s">
        <v>1364</v>
      </c>
      <c r="C1209" s="149">
        <v>3208</v>
      </c>
      <c r="D1209" s="149" t="s">
        <v>3389</v>
      </c>
      <c r="E1209" s="149" t="s">
        <v>3390</v>
      </c>
      <c r="F1209" s="149" t="s">
        <v>280</v>
      </c>
      <c r="G1209" s="149" t="s">
        <v>143</v>
      </c>
      <c r="H1209" s="151" t="str">
        <f t="shared" si="91"/>
        <v>1996/05/22</v>
      </c>
      <c r="I1209" s="149" t="s">
        <v>261</v>
      </c>
      <c r="J1209" s="149" t="s">
        <v>713</v>
      </c>
      <c r="K1209" s="101" t="str">
        <f t="shared" si="92"/>
        <v>96</v>
      </c>
      <c r="L1209" s="101" t="str">
        <f t="shared" si="93"/>
        <v>05</v>
      </c>
      <c r="M1209" s="101" t="str">
        <f t="shared" si="94"/>
        <v>22</v>
      </c>
    </row>
    <row r="1210" spans="1:13">
      <c r="A1210" t="str">
        <f t="shared" si="90"/>
        <v>広島大学3209男</v>
      </c>
      <c r="B1210" s="149" t="s">
        <v>1364</v>
      </c>
      <c r="C1210" s="149">
        <v>3209</v>
      </c>
      <c r="D1210" s="149" t="s">
        <v>3391</v>
      </c>
      <c r="E1210" s="149" t="s">
        <v>3392</v>
      </c>
      <c r="F1210" s="149" t="s">
        <v>280</v>
      </c>
      <c r="G1210" s="149" t="s">
        <v>143</v>
      </c>
      <c r="H1210" s="151" t="str">
        <f t="shared" si="91"/>
        <v>1996/08/13</v>
      </c>
      <c r="I1210" s="149" t="s">
        <v>295</v>
      </c>
      <c r="J1210" s="149" t="s">
        <v>719</v>
      </c>
      <c r="K1210" s="101" t="str">
        <f t="shared" si="92"/>
        <v>96</v>
      </c>
      <c r="L1210" s="101" t="str">
        <f t="shared" si="93"/>
        <v>08</v>
      </c>
      <c r="M1210" s="101" t="str">
        <f t="shared" si="94"/>
        <v>13</v>
      </c>
    </row>
    <row r="1211" spans="1:13">
      <c r="A1211" t="str">
        <f t="shared" si="90"/>
        <v>広島大学3210男</v>
      </c>
      <c r="B1211" s="149" t="s">
        <v>1364</v>
      </c>
      <c r="C1211" s="149">
        <v>3210</v>
      </c>
      <c r="D1211" s="149" t="s">
        <v>3393</v>
      </c>
      <c r="E1211" s="149" t="s">
        <v>3394</v>
      </c>
      <c r="F1211" s="149" t="s">
        <v>280</v>
      </c>
      <c r="G1211" s="149" t="s">
        <v>143</v>
      </c>
      <c r="H1211" s="151" t="str">
        <f t="shared" si="91"/>
        <v>1997/02/16</v>
      </c>
      <c r="I1211" s="149" t="s">
        <v>268</v>
      </c>
      <c r="J1211" s="149" t="s">
        <v>3982</v>
      </c>
      <c r="K1211" s="101" t="str">
        <f t="shared" si="92"/>
        <v>97</v>
      </c>
      <c r="L1211" s="101" t="str">
        <f t="shared" si="93"/>
        <v>02</v>
      </c>
      <c r="M1211" s="101" t="str">
        <f t="shared" si="94"/>
        <v>16</v>
      </c>
    </row>
    <row r="1212" spans="1:13">
      <c r="A1212" t="str">
        <f t="shared" si="90"/>
        <v>広島大学3211男</v>
      </c>
      <c r="B1212" s="149" t="s">
        <v>1364</v>
      </c>
      <c r="C1212" s="149">
        <v>3211</v>
      </c>
      <c r="D1212" s="149" t="s">
        <v>3395</v>
      </c>
      <c r="E1212" s="149" t="s">
        <v>3396</v>
      </c>
      <c r="F1212" s="149" t="s">
        <v>280</v>
      </c>
      <c r="G1212" s="149" t="s">
        <v>143</v>
      </c>
      <c r="H1212" s="151" t="str">
        <f t="shared" si="91"/>
        <v>1996/04/13</v>
      </c>
      <c r="I1212" s="149" t="s">
        <v>303</v>
      </c>
      <c r="J1212" s="149" t="s">
        <v>735</v>
      </c>
      <c r="K1212" s="101" t="str">
        <f t="shared" si="92"/>
        <v>96</v>
      </c>
      <c r="L1212" s="101" t="str">
        <f t="shared" si="93"/>
        <v>04</v>
      </c>
      <c r="M1212" s="101" t="str">
        <f t="shared" si="94"/>
        <v>13</v>
      </c>
    </row>
    <row r="1213" spans="1:13">
      <c r="A1213" t="str">
        <f t="shared" si="90"/>
        <v>広島大学3212男</v>
      </c>
      <c r="B1213" s="149" t="s">
        <v>1364</v>
      </c>
      <c r="C1213" s="149">
        <v>3212</v>
      </c>
      <c r="D1213" s="149" t="s">
        <v>3397</v>
      </c>
      <c r="E1213" s="149" t="s">
        <v>3398</v>
      </c>
      <c r="F1213" s="149" t="s">
        <v>280</v>
      </c>
      <c r="G1213" s="149" t="s">
        <v>143</v>
      </c>
      <c r="H1213" s="151" t="str">
        <f t="shared" si="91"/>
        <v>1996/01/14</v>
      </c>
      <c r="I1213" s="149" t="s">
        <v>295</v>
      </c>
      <c r="J1213" s="149" t="s">
        <v>875</v>
      </c>
      <c r="K1213" s="101" t="str">
        <f t="shared" si="92"/>
        <v>96</v>
      </c>
      <c r="L1213" s="101" t="str">
        <f t="shared" si="93"/>
        <v>01</v>
      </c>
      <c r="M1213" s="101" t="str">
        <f t="shared" si="94"/>
        <v>14</v>
      </c>
    </row>
    <row r="1214" spans="1:13">
      <c r="A1214" t="str">
        <f t="shared" si="90"/>
        <v>広島大学3213男</v>
      </c>
      <c r="B1214" s="149" t="s">
        <v>1364</v>
      </c>
      <c r="C1214" s="149">
        <v>3213</v>
      </c>
      <c r="D1214" s="149" t="s">
        <v>3399</v>
      </c>
      <c r="E1214" s="149" t="s">
        <v>3400</v>
      </c>
      <c r="F1214" s="149" t="s">
        <v>280</v>
      </c>
      <c r="G1214" s="149" t="s">
        <v>143</v>
      </c>
      <c r="H1214" s="151" t="str">
        <f t="shared" si="91"/>
        <v>1997/01/31</v>
      </c>
      <c r="I1214" s="149" t="s">
        <v>295</v>
      </c>
      <c r="J1214" s="149" t="s">
        <v>828</v>
      </c>
      <c r="K1214" s="101" t="str">
        <f t="shared" si="92"/>
        <v>97</v>
      </c>
      <c r="L1214" s="101" t="str">
        <f t="shared" si="93"/>
        <v>01</v>
      </c>
      <c r="M1214" s="101" t="str">
        <f t="shared" si="94"/>
        <v>31</v>
      </c>
    </row>
    <row r="1215" spans="1:13">
      <c r="A1215" t="str">
        <f t="shared" si="90"/>
        <v>川崎医療短期大学3214男</v>
      </c>
      <c r="B1215" s="149" t="s">
        <v>3401</v>
      </c>
      <c r="C1215" s="149">
        <v>3214</v>
      </c>
      <c r="D1215" s="149" t="s">
        <v>3402</v>
      </c>
      <c r="E1215" s="149" t="s">
        <v>3403</v>
      </c>
      <c r="F1215" s="149" t="s">
        <v>280</v>
      </c>
      <c r="G1215" s="149" t="s">
        <v>143</v>
      </c>
      <c r="H1215" s="151" t="str">
        <f t="shared" si="91"/>
        <v>1995/09/08</v>
      </c>
      <c r="I1215" s="149" t="s">
        <v>299</v>
      </c>
      <c r="J1215" s="149" t="s">
        <v>424</v>
      </c>
      <c r="K1215" s="101" t="str">
        <f t="shared" si="92"/>
        <v>95</v>
      </c>
      <c r="L1215" s="101" t="str">
        <f t="shared" si="93"/>
        <v>09</v>
      </c>
      <c r="M1215" s="101" t="str">
        <f t="shared" si="94"/>
        <v>08</v>
      </c>
    </row>
    <row r="1216" spans="1:13">
      <c r="A1216" t="str">
        <f t="shared" si="90"/>
        <v>愛媛大学3215男</v>
      </c>
      <c r="B1216" s="149" t="s">
        <v>2107</v>
      </c>
      <c r="C1216" s="149">
        <v>3215</v>
      </c>
      <c r="D1216" s="149" t="s">
        <v>3404</v>
      </c>
      <c r="E1216" s="149" t="s">
        <v>3405</v>
      </c>
      <c r="F1216" s="149" t="s">
        <v>264</v>
      </c>
      <c r="G1216" s="149" t="s">
        <v>143</v>
      </c>
      <c r="H1216" s="151" t="str">
        <f t="shared" si="91"/>
        <v>1992/07/27</v>
      </c>
      <c r="I1216" s="149" t="s">
        <v>281</v>
      </c>
      <c r="J1216" s="149" t="s">
        <v>3983</v>
      </c>
      <c r="K1216" s="101" t="str">
        <f t="shared" si="92"/>
        <v>92</v>
      </c>
      <c r="L1216" s="101" t="str">
        <f t="shared" si="93"/>
        <v>07</v>
      </c>
      <c r="M1216" s="101" t="str">
        <f t="shared" si="94"/>
        <v>27</v>
      </c>
    </row>
    <row r="1217" spans="1:13">
      <c r="A1217" t="str">
        <f t="shared" si="90"/>
        <v>愛媛大学3216男</v>
      </c>
      <c r="B1217" s="149" t="s">
        <v>2107</v>
      </c>
      <c r="C1217" s="149">
        <v>3216</v>
      </c>
      <c r="D1217" s="149" t="s">
        <v>3406</v>
      </c>
      <c r="E1217" s="149" t="s">
        <v>3407</v>
      </c>
      <c r="F1217" s="149" t="s">
        <v>267</v>
      </c>
      <c r="G1217" s="149" t="s">
        <v>143</v>
      </c>
      <c r="H1217" s="151" t="str">
        <f t="shared" si="91"/>
        <v>1995/09/01</v>
      </c>
      <c r="I1217" s="149" t="s">
        <v>281</v>
      </c>
      <c r="J1217" s="149" t="s">
        <v>3680</v>
      </c>
      <c r="K1217" s="101" t="str">
        <f t="shared" si="92"/>
        <v>95</v>
      </c>
      <c r="L1217" s="101" t="str">
        <f t="shared" si="93"/>
        <v>09</v>
      </c>
      <c r="M1217" s="101" t="str">
        <f t="shared" si="94"/>
        <v>01</v>
      </c>
    </row>
    <row r="1218" spans="1:13">
      <c r="A1218" t="str">
        <f t="shared" ref="A1218:A1281" si="95">B1218&amp;C1218&amp;G1218</f>
        <v>愛媛大学3217男</v>
      </c>
      <c r="B1218" s="149" t="s">
        <v>2107</v>
      </c>
      <c r="C1218" s="149">
        <v>3217</v>
      </c>
      <c r="D1218" s="149" t="s">
        <v>3408</v>
      </c>
      <c r="E1218" s="149" t="s">
        <v>3409</v>
      </c>
      <c r="F1218" s="149" t="s">
        <v>280</v>
      </c>
      <c r="G1218" s="149" t="s">
        <v>143</v>
      </c>
      <c r="H1218" s="151" t="str">
        <f t="shared" si="91"/>
        <v>1997/01/13</v>
      </c>
      <c r="I1218" s="149" t="s">
        <v>281</v>
      </c>
      <c r="J1218" s="149" t="s">
        <v>799</v>
      </c>
      <c r="K1218" s="101" t="str">
        <f t="shared" si="92"/>
        <v>97</v>
      </c>
      <c r="L1218" s="101" t="str">
        <f t="shared" si="93"/>
        <v>01</v>
      </c>
      <c r="M1218" s="101" t="str">
        <f t="shared" si="94"/>
        <v>13</v>
      </c>
    </row>
    <row r="1219" spans="1:13">
      <c r="A1219" t="str">
        <f t="shared" si="95"/>
        <v>愛媛大学3218男</v>
      </c>
      <c r="B1219" s="149" t="s">
        <v>2107</v>
      </c>
      <c r="C1219" s="149">
        <v>3218</v>
      </c>
      <c r="D1219" s="149" t="s">
        <v>3410</v>
      </c>
      <c r="E1219" s="149" t="s">
        <v>3411</v>
      </c>
      <c r="F1219" s="149" t="s">
        <v>280</v>
      </c>
      <c r="G1219" s="149" t="s">
        <v>143</v>
      </c>
      <c r="H1219" s="151" t="str">
        <f t="shared" ref="H1219:H1282" si="96">"19"&amp;K1219&amp;"/"&amp;L1219&amp;"/"&amp;M1219</f>
        <v>1996/11/26</v>
      </c>
      <c r="I1219" s="149" t="s">
        <v>282</v>
      </c>
      <c r="J1219" s="149" t="s">
        <v>728</v>
      </c>
      <c r="K1219" s="101" t="str">
        <f t="shared" ref="K1219:K1249" si="97">MID(J1219,1,2)</f>
        <v>96</v>
      </c>
      <c r="L1219" s="101" t="str">
        <f t="shared" ref="L1219:L1249" si="98">MID(J1219,3,2)</f>
        <v>11</v>
      </c>
      <c r="M1219" s="101" t="str">
        <f t="shared" ref="M1219:M1249" si="99">MID(J1219,5,2)</f>
        <v>26</v>
      </c>
    </row>
    <row r="1220" spans="1:13">
      <c r="A1220" t="str">
        <f t="shared" si="95"/>
        <v>愛媛大学3219男</v>
      </c>
      <c r="B1220" s="149" t="s">
        <v>2107</v>
      </c>
      <c r="C1220" s="149">
        <v>3219</v>
      </c>
      <c r="D1220" s="149" t="s">
        <v>3412</v>
      </c>
      <c r="E1220" s="149" t="s">
        <v>3413</v>
      </c>
      <c r="F1220" s="149" t="s">
        <v>280</v>
      </c>
      <c r="G1220" s="149" t="s">
        <v>143</v>
      </c>
      <c r="H1220" s="151" t="str">
        <f t="shared" si="96"/>
        <v>1997/03/02</v>
      </c>
      <c r="I1220" s="149" t="s">
        <v>281</v>
      </c>
      <c r="J1220" s="149" t="s">
        <v>3984</v>
      </c>
      <c r="K1220" s="101" t="str">
        <f t="shared" si="97"/>
        <v>97</v>
      </c>
      <c r="L1220" s="101" t="str">
        <f t="shared" si="98"/>
        <v>03</v>
      </c>
      <c r="M1220" s="101" t="str">
        <f t="shared" si="99"/>
        <v>02</v>
      </c>
    </row>
    <row r="1221" spans="1:13">
      <c r="A1221" t="str">
        <f t="shared" si="95"/>
        <v>愛媛大学3220男</v>
      </c>
      <c r="B1221" s="149" t="s">
        <v>2107</v>
      </c>
      <c r="C1221" s="149">
        <v>3220</v>
      </c>
      <c r="D1221" s="149" t="s">
        <v>3414</v>
      </c>
      <c r="E1221" s="149" t="s">
        <v>3415</v>
      </c>
      <c r="F1221" s="149" t="s">
        <v>280</v>
      </c>
      <c r="G1221" s="149" t="s">
        <v>143</v>
      </c>
      <c r="H1221" s="151" t="str">
        <f t="shared" si="96"/>
        <v>1995/07/07</v>
      </c>
      <c r="I1221" s="149" t="s">
        <v>281</v>
      </c>
      <c r="J1221" s="149" t="s">
        <v>3645</v>
      </c>
      <c r="K1221" s="101" t="str">
        <f t="shared" si="97"/>
        <v>95</v>
      </c>
      <c r="L1221" s="101" t="str">
        <f t="shared" si="98"/>
        <v>07</v>
      </c>
      <c r="M1221" s="101" t="str">
        <f t="shared" si="99"/>
        <v>07</v>
      </c>
    </row>
    <row r="1222" spans="1:13">
      <c r="A1222" t="str">
        <f t="shared" si="95"/>
        <v>愛媛大学3221男</v>
      </c>
      <c r="B1222" s="149" t="s">
        <v>2107</v>
      </c>
      <c r="C1222" s="149">
        <v>3221</v>
      </c>
      <c r="D1222" s="149" t="s">
        <v>3416</v>
      </c>
      <c r="E1222" s="149" t="s">
        <v>3417</v>
      </c>
      <c r="F1222" s="149" t="s">
        <v>280</v>
      </c>
      <c r="G1222" s="149" t="s">
        <v>143</v>
      </c>
      <c r="H1222" s="151" t="str">
        <f t="shared" si="96"/>
        <v>1996/12/02</v>
      </c>
      <c r="I1222" s="149" t="s">
        <v>281</v>
      </c>
      <c r="J1222" s="149" t="s">
        <v>3946</v>
      </c>
      <c r="K1222" s="101" t="str">
        <f t="shared" si="97"/>
        <v>96</v>
      </c>
      <c r="L1222" s="101" t="str">
        <f t="shared" si="98"/>
        <v>12</v>
      </c>
      <c r="M1222" s="101" t="str">
        <f t="shared" si="99"/>
        <v>02</v>
      </c>
    </row>
    <row r="1223" spans="1:13">
      <c r="A1223" t="str">
        <f t="shared" si="95"/>
        <v>愛媛大学3222男</v>
      </c>
      <c r="B1223" s="149" t="s">
        <v>2107</v>
      </c>
      <c r="C1223" s="149">
        <v>3222</v>
      </c>
      <c r="D1223" s="149" t="s">
        <v>3418</v>
      </c>
      <c r="E1223" s="149" t="s">
        <v>3419</v>
      </c>
      <c r="F1223" s="149" t="s">
        <v>280</v>
      </c>
      <c r="G1223" s="149" t="s">
        <v>143</v>
      </c>
      <c r="H1223" s="151" t="str">
        <f t="shared" si="96"/>
        <v>1996/05/13</v>
      </c>
      <c r="I1223" s="149" t="s">
        <v>281</v>
      </c>
      <c r="J1223" s="149" t="s">
        <v>758</v>
      </c>
      <c r="K1223" s="101" t="str">
        <f t="shared" si="97"/>
        <v>96</v>
      </c>
      <c r="L1223" s="101" t="str">
        <f t="shared" si="98"/>
        <v>05</v>
      </c>
      <c r="M1223" s="101" t="str">
        <f t="shared" si="99"/>
        <v>13</v>
      </c>
    </row>
    <row r="1224" spans="1:13">
      <c r="A1224" t="str">
        <f t="shared" si="95"/>
        <v>愛媛大学3223男</v>
      </c>
      <c r="B1224" s="149" t="s">
        <v>2107</v>
      </c>
      <c r="C1224" s="149">
        <v>3223</v>
      </c>
      <c r="D1224" s="149" t="s">
        <v>3420</v>
      </c>
      <c r="E1224" s="149" t="s">
        <v>3421</v>
      </c>
      <c r="F1224" s="149" t="s">
        <v>280</v>
      </c>
      <c r="G1224" s="149" t="s">
        <v>143</v>
      </c>
      <c r="H1224" s="151" t="str">
        <f t="shared" si="96"/>
        <v>1995/07/24</v>
      </c>
      <c r="I1224" s="149" t="s">
        <v>289</v>
      </c>
      <c r="J1224" s="149" t="s">
        <v>3746</v>
      </c>
      <c r="K1224" s="101" t="str">
        <f t="shared" si="97"/>
        <v>95</v>
      </c>
      <c r="L1224" s="101" t="str">
        <f t="shared" si="98"/>
        <v>07</v>
      </c>
      <c r="M1224" s="101" t="str">
        <f t="shared" si="99"/>
        <v>24</v>
      </c>
    </row>
    <row r="1225" spans="1:13">
      <c r="A1225" t="str">
        <f t="shared" si="95"/>
        <v>愛媛大学3224男</v>
      </c>
      <c r="B1225" s="149" t="s">
        <v>2107</v>
      </c>
      <c r="C1225" s="149">
        <v>3224</v>
      </c>
      <c r="D1225" s="149" t="s">
        <v>3422</v>
      </c>
      <c r="E1225" s="149" t="s">
        <v>3423</v>
      </c>
      <c r="F1225" s="149" t="s">
        <v>280</v>
      </c>
      <c r="G1225" s="149" t="s">
        <v>143</v>
      </c>
      <c r="H1225" s="151" t="str">
        <f t="shared" si="96"/>
        <v>1996/09/04</v>
      </c>
      <c r="I1225" s="149" t="s">
        <v>281</v>
      </c>
      <c r="J1225" s="149" t="s">
        <v>829</v>
      </c>
      <c r="K1225" s="101" t="str">
        <f t="shared" si="97"/>
        <v>96</v>
      </c>
      <c r="L1225" s="101" t="str">
        <f t="shared" si="98"/>
        <v>09</v>
      </c>
      <c r="M1225" s="101" t="str">
        <f t="shared" si="99"/>
        <v>04</v>
      </c>
    </row>
    <row r="1226" spans="1:13">
      <c r="A1226" t="str">
        <f t="shared" si="95"/>
        <v>宇部フロンティア大学3225男</v>
      </c>
      <c r="B1226" s="149" t="s">
        <v>3424</v>
      </c>
      <c r="C1226" s="149">
        <v>3225</v>
      </c>
      <c r="D1226" s="149" t="s">
        <v>3425</v>
      </c>
      <c r="E1226" s="149" t="s">
        <v>3426</v>
      </c>
      <c r="F1226" s="149" t="s">
        <v>265</v>
      </c>
      <c r="G1226" s="149" t="s">
        <v>143</v>
      </c>
      <c r="H1226" s="151" t="str">
        <f t="shared" si="96"/>
        <v>1994/07/21</v>
      </c>
      <c r="I1226" s="149" t="s">
        <v>269</v>
      </c>
      <c r="J1226" s="149" t="s">
        <v>646</v>
      </c>
      <c r="K1226" s="101" t="str">
        <f t="shared" si="97"/>
        <v>94</v>
      </c>
      <c r="L1226" s="101" t="str">
        <f t="shared" si="98"/>
        <v>07</v>
      </c>
      <c r="M1226" s="101" t="str">
        <f t="shared" si="99"/>
        <v>21</v>
      </c>
    </row>
    <row r="1227" spans="1:13">
      <c r="A1227" t="str">
        <f t="shared" si="95"/>
        <v>宇部フロンティア大学3226男</v>
      </c>
      <c r="B1227" s="149" t="s">
        <v>3424</v>
      </c>
      <c r="C1227" s="149">
        <v>3226</v>
      </c>
      <c r="D1227" s="149" t="s">
        <v>3427</v>
      </c>
      <c r="E1227" s="149" t="s">
        <v>3428</v>
      </c>
      <c r="F1227" s="149" t="s">
        <v>265</v>
      </c>
      <c r="G1227" s="149" t="s">
        <v>143</v>
      </c>
      <c r="H1227" s="151" t="str">
        <f t="shared" si="96"/>
        <v>1995/03/05</v>
      </c>
      <c r="I1227" s="149" t="s">
        <v>269</v>
      </c>
      <c r="J1227" s="149" t="s">
        <v>947</v>
      </c>
      <c r="K1227" s="101" t="str">
        <f t="shared" si="97"/>
        <v>95</v>
      </c>
      <c r="L1227" s="101" t="str">
        <f t="shared" si="98"/>
        <v>03</v>
      </c>
      <c r="M1227" s="101" t="str">
        <f t="shared" si="99"/>
        <v>05</v>
      </c>
    </row>
    <row r="1228" spans="1:13">
      <c r="A1228" t="str">
        <f t="shared" si="95"/>
        <v>徳島文理大学3227男</v>
      </c>
      <c r="B1228" s="149" t="s">
        <v>966</v>
      </c>
      <c r="C1228" s="149">
        <v>3227</v>
      </c>
      <c r="D1228" s="149" t="s">
        <v>3429</v>
      </c>
      <c r="E1228" s="149" t="s">
        <v>3430</v>
      </c>
      <c r="F1228" s="149" t="s">
        <v>280</v>
      </c>
      <c r="G1228" s="149" t="s">
        <v>143</v>
      </c>
      <c r="H1228" s="151" t="str">
        <f t="shared" si="96"/>
        <v>1996/04/03</v>
      </c>
      <c r="I1228" s="149" t="s">
        <v>289</v>
      </c>
      <c r="J1228" s="149" t="s">
        <v>837</v>
      </c>
      <c r="K1228" s="101" t="str">
        <f t="shared" si="97"/>
        <v>96</v>
      </c>
      <c r="L1228" s="101" t="str">
        <f t="shared" si="98"/>
        <v>04</v>
      </c>
      <c r="M1228" s="101" t="str">
        <f t="shared" si="99"/>
        <v>03</v>
      </c>
    </row>
    <row r="1229" spans="1:13">
      <c r="A1229" t="str">
        <f t="shared" si="95"/>
        <v>岡山大学3228男</v>
      </c>
      <c r="B1229" s="149" t="s">
        <v>1963</v>
      </c>
      <c r="C1229" s="149">
        <v>3228</v>
      </c>
      <c r="D1229" s="149" t="s">
        <v>3431</v>
      </c>
      <c r="E1229" s="149" t="s">
        <v>2713</v>
      </c>
      <c r="F1229" s="149" t="s">
        <v>280</v>
      </c>
      <c r="G1229" s="149" t="s">
        <v>143</v>
      </c>
      <c r="H1229" s="151" t="str">
        <f t="shared" si="96"/>
        <v>1996/11/07</v>
      </c>
      <c r="I1229" s="149" t="s">
        <v>295</v>
      </c>
      <c r="J1229" s="149" t="s">
        <v>3778</v>
      </c>
      <c r="K1229" s="101" t="str">
        <f t="shared" si="97"/>
        <v>96</v>
      </c>
      <c r="L1229" s="101" t="str">
        <f t="shared" si="98"/>
        <v>11</v>
      </c>
      <c r="M1229" s="101" t="str">
        <f t="shared" si="99"/>
        <v>07</v>
      </c>
    </row>
    <row r="1230" spans="1:13">
      <c r="A1230" t="str">
        <f t="shared" si="95"/>
        <v>岡山大学3229男</v>
      </c>
      <c r="B1230" s="149" t="s">
        <v>1963</v>
      </c>
      <c r="C1230" s="149">
        <v>3229</v>
      </c>
      <c r="D1230" s="149" t="s">
        <v>3432</v>
      </c>
      <c r="E1230" s="149" t="s">
        <v>3433</v>
      </c>
      <c r="F1230" s="149" t="s">
        <v>280</v>
      </c>
      <c r="G1230" s="149" t="s">
        <v>143</v>
      </c>
      <c r="H1230" s="151" t="str">
        <f t="shared" si="96"/>
        <v>1995/12/15</v>
      </c>
      <c r="I1230" s="149" t="s">
        <v>299</v>
      </c>
      <c r="J1230" s="149" t="s">
        <v>3985</v>
      </c>
      <c r="K1230" s="101" t="str">
        <f t="shared" si="97"/>
        <v>95</v>
      </c>
      <c r="L1230" s="101" t="str">
        <f t="shared" si="98"/>
        <v>12</v>
      </c>
      <c r="M1230" s="101" t="str">
        <f t="shared" si="99"/>
        <v>15</v>
      </c>
    </row>
    <row r="1231" spans="1:13">
      <c r="A1231" t="str">
        <f t="shared" si="95"/>
        <v>阿南工業高等専門学校3230男</v>
      </c>
      <c r="B1231" s="149" t="s">
        <v>3434</v>
      </c>
      <c r="C1231" s="149">
        <v>3230</v>
      </c>
      <c r="D1231" s="149" t="s">
        <v>3435</v>
      </c>
      <c r="E1231" s="149" t="s">
        <v>3436</v>
      </c>
      <c r="F1231" s="149" t="s">
        <v>260</v>
      </c>
      <c r="G1231" s="149" t="s">
        <v>143</v>
      </c>
      <c r="H1231" s="151" t="str">
        <f t="shared" si="96"/>
        <v>1996/05/09</v>
      </c>
      <c r="I1231" s="149" t="s">
        <v>276</v>
      </c>
      <c r="J1231" s="149" t="s">
        <v>808</v>
      </c>
      <c r="K1231" s="101" t="str">
        <f t="shared" si="97"/>
        <v>96</v>
      </c>
      <c r="L1231" s="101" t="str">
        <f t="shared" si="98"/>
        <v>05</v>
      </c>
      <c r="M1231" s="101" t="str">
        <f t="shared" si="99"/>
        <v>09</v>
      </c>
    </row>
    <row r="1232" spans="1:13">
      <c r="A1232" t="str">
        <f t="shared" si="95"/>
        <v>高知県立大学3231男</v>
      </c>
      <c r="B1232" s="149" t="s">
        <v>3437</v>
      </c>
      <c r="C1232" s="149">
        <v>3231</v>
      </c>
      <c r="D1232" s="149" t="s">
        <v>3438</v>
      </c>
      <c r="E1232" s="149" t="s">
        <v>3439</v>
      </c>
      <c r="F1232" s="149" t="s">
        <v>280</v>
      </c>
      <c r="G1232" s="149" t="s">
        <v>143</v>
      </c>
      <c r="H1232" s="151" t="str">
        <f t="shared" si="96"/>
        <v>1996/04/07</v>
      </c>
      <c r="I1232" s="149" t="s">
        <v>263</v>
      </c>
      <c r="J1232" s="149" t="s">
        <v>3968</v>
      </c>
      <c r="K1232" s="101" t="str">
        <f t="shared" si="97"/>
        <v>96</v>
      </c>
      <c r="L1232" s="101" t="str">
        <f t="shared" si="98"/>
        <v>04</v>
      </c>
      <c r="M1232" s="101" t="str">
        <f t="shared" si="99"/>
        <v>07</v>
      </c>
    </row>
    <row r="1233" spans="1:13">
      <c r="A1233" t="str">
        <f t="shared" si="95"/>
        <v>高知県立大学3232男</v>
      </c>
      <c r="B1233" s="149" t="s">
        <v>3437</v>
      </c>
      <c r="C1233" s="149">
        <v>3232</v>
      </c>
      <c r="D1233" s="149" t="s">
        <v>3440</v>
      </c>
      <c r="E1233" s="149" t="s">
        <v>3441</v>
      </c>
      <c r="F1233" s="149" t="s">
        <v>280</v>
      </c>
      <c r="G1233" s="149" t="s">
        <v>143</v>
      </c>
      <c r="H1233" s="151" t="str">
        <f t="shared" si="96"/>
        <v>1996/04/25</v>
      </c>
      <c r="I1233" s="149" t="s">
        <v>263</v>
      </c>
      <c r="J1233" s="149" t="s">
        <v>922</v>
      </c>
      <c r="K1233" s="101" t="str">
        <f t="shared" si="97"/>
        <v>96</v>
      </c>
      <c r="L1233" s="101" t="str">
        <f t="shared" si="98"/>
        <v>04</v>
      </c>
      <c r="M1233" s="101" t="str">
        <f t="shared" si="99"/>
        <v>25</v>
      </c>
    </row>
    <row r="1234" spans="1:13">
      <c r="A1234" t="str">
        <f t="shared" si="95"/>
        <v>尾道市立大学3233男</v>
      </c>
      <c r="B1234" s="149" t="s">
        <v>2402</v>
      </c>
      <c r="C1234" s="149">
        <v>3233</v>
      </c>
      <c r="D1234" s="149" t="s">
        <v>3442</v>
      </c>
      <c r="E1234" s="149" t="s">
        <v>3443</v>
      </c>
      <c r="F1234" s="149" t="s">
        <v>280</v>
      </c>
      <c r="G1234" s="149" t="s">
        <v>143</v>
      </c>
      <c r="H1234" s="151" t="str">
        <f t="shared" si="96"/>
        <v>1996/05/23</v>
      </c>
      <c r="I1234" s="149" t="s">
        <v>295</v>
      </c>
      <c r="J1234" s="149" t="s">
        <v>3949</v>
      </c>
      <c r="K1234" s="101" t="str">
        <f t="shared" si="97"/>
        <v>96</v>
      </c>
      <c r="L1234" s="101" t="str">
        <f t="shared" si="98"/>
        <v>05</v>
      </c>
      <c r="M1234" s="101" t="str">
        <f t="shared" si="99"/>
        <v>23</v>
      </c>
    </row>
    <row r="1235" spans="1:13">
      <c r="A1235" t="str">
        <f t="shared" si="95"/>
        <v>尾道市立大学3234男</v>
      </c>
      <c r="B1235" s="149" t="s">
        <v>2402</v>
      </c>
      <c r="C1235" s="149">
        <v>3234</v>
      </c>
      <c r="D1235" s="149" t="s">
        <v>3444</v>
      </c>
      <c r="E1235" s="149" t="s">
        <v>3445</v>
      </c>
      <c r="F1235" s="149" t="s">
        <v>280</v>
      </c>
      <c r="G1235" s="149" t="s">
        <v>143</v>
      </c>
      <c r="H1235" s="151" t="str">
        <f t="shared" si="96"/>
        <v>1996/10/29</v>
      </c>
      <c r="I1235" s="149" t="s">
        <v>295</v>
      </c>
      <c r="J1235" s="149" t="s">
        <v>695</v>
      </c>
      <c r="K1235" s="101" t="str">
        <f t="shared" si="97"/>
        <v>96</v>
      </c>
      <c r="L1235" s="101" t="str">
        <f t="shared" si="98"/>
        <v>10</v>
      </c>
      <c r="M1235" s="101" t="str">
        <f t="shared" si="99"/>
        <v>29</v>
      </c>
    </row>
    <row r="1236" spans="1:13">
      <c r="A1236" t="str">
        <f t="shared" si="95"/>
        <v>徳島文理大学3235男</v>
      </c>
      <c r="B1236" s="149" t="s">
        <v>966</v>
      </c>
      <c r="C1236" s="149">
        <v>3235</v>
      </c>
      <c r="D1236" s="149" t="s">
        <v>3446</v>
      </c>
      <c r="E1236" s="149" t="s">
        <v>3447</v>
      </c>
      <c r="F1236" s="149" t="s">
        <v>280</v>
      </c>
      <c r="G1236" s="149" t="s">
        <v>143</v>
      </c>
      <c r="H1236" s="151" t="str">
        <f t="shared" si="96"/>
        <v>1996/06/22</v>
      </c>
      <c r="I1236" s="149" t="s">
        <v>276</v>
      </c>
      <c r="J1236" s="149" t="s">
        <v>923</v>
      </c>
      <c r="K1236" s="101" t="str">
        <f t="shared" si="97"/>
        <v>96</v>
      </c>
      <c r="L1236" s="101" t="str">
        <f t="shared" si="98"/>
        <v>06</v>
      </c>
      <c r="M1236" s="101" t="str">
        <f t="shared" si="99"/>
        <v>22</v>
      </c>
    </row>
    <row r="1237" spans="1:13">
      <c r="A1237" t="str">
        <f t="shared" si="95"/>
        <v>徳島文理大学3236男</v>
      </c>
      <c r="B1237" s="149" t="s">
        <v>966</v>
      </c>
      <c r="C1237" s="149">
        <v>3236</v>
      </c>
      <c r="D1237" s="149" t="s">
        <v>3448</v>
      </c>
      <c r="E1237" s="149" t="s">
        <v>3449</v>
      </c>
      <c r="F1237" s="149" t="s">
        <v>280</v>
      </c>
      <c r="G1237" s="149" t="s">
        <v>143</v>
      </c>
      <c r="H1237" s="151" t="str">
        <f t="shared" si="96"/>
        <v>1997/01/24</v>
      </c>
      <c r="I1237" s="149" t="s">
        <v>276</v>
      </c>
      <c r="J1237" s="149" t="s">
        <v>715</v>
      </c>
      <c r="K1237" s="101" t="str">
        <f t="shared" si="97"/>
        <v>97</v>
      </c>
      <c r="L1237" s="101" t="str">
        <f t="shared" si="98"/>
        <v>01</v>
      </c>
      <c r="M1237" s="101" t="str">
        <f t="shared" si="99"/>
        <v>24</v>
      </c>
    </row>
    <row r="1238" spans="1:13">
      <c r="A1238" t="str">
        <f t="shared" si="95"/>
        <v>広島市立大学3237男</v>
      </c>
      <c r="B1238" s="149" t="s">
        <v>977</v>
      </c>
      <c r="C1238" s="149">
        <v>3237</v>
      </c>
      <c r="D1238" s="149" t="s">
        <v>3450</v>
      </c>
      <c r="E1238" s="149" t="s">
        <v>3451</v>
      </c>
      <c r="F1238" s="149" t="s">
        <v>280</v>
      </c>
      <c r="G1238" s="149" t="s">
        <v>143</v>
      </c>
      <c r="H1238" s="151" t="str">
        <f t="shared" si="96"/>
        <v>1996/07/21</v>
      </c>
      <c r="I1238" s="149" t="s">
        <v>295</v>
      </c>
      <c r="J1238" s="149" t="s">
        <v>724</v>
      </c>
      <c r="K1238" s="101" t="str">
        <f t="shared" si="97"/>
        <v>96</v>
      </c>
      <c r="L1238" s="101" t="str">
        <f t="shared" si="98"/>
        <v>07</v>
      </c>
      <c r="M1238" s="101" t="str">
        <f t="shared" si="99"/>
        <v>21</v>
      </c>
    </row>
    <row r="1239" spans="1:13">
      <c r="A1239" t="str">
        <f t="shared" si="95"/>
        <v>広島市立大学3238男</v>
      </c>
      <c r="B1239" s="149" t="s">
        <v>977</v>
      </c>
      <c r="C1239" s="149">
        <v>3238</v>
      </c>
      <c r="D1239" s="149" t="s">
        <v>3452</v>
      </c>
      <c r="E1239" s="149" t="s">
        <v>3453</v>
      </c>
      <c r="F1239" s="149" t="s">
        <v>280</v>
      </c>
      <c r="G1239" s="149" t="s">
        <v>143</v>
      </c>
      <c r="H1239" s="151" t="str">
        <f t="shared" si="96"/>
        <v>1996/12/24</v>
      </c>
      <c r="I1239" s="149" t="s">
        <v>295</v>
      </c>
      <c r="J1239" s="149" t="s">
        <v>3970</v>
      </c>
      <c r="K1239" s="101" t="str">
        <f t="shared" si="97"/>
        <v>96</v>
      </c>
      <c r="L1239" s="101" t="str">
        <f t="shared" si="98"/>
        <v>12</v>
      </c>
      <c r="M1239" s="101" t="str">
        <f t="shared" si="99"/>
        <v>24</v>
      </c>
    </row>
    <row r="1240" spans="1:13">
      <c r="A1240" t="str">
        <f t="shared" si="95"/>
        <v>広島市立大学3239男</v>
      </c>
      <c r="B1240" s="149" t="s">
        <v>977</v>
      </c>
      <c r="C1240" s="149">
        <v>3239</v>
      </c>
      <c r="D1240" s="149" t="s">
        <v>3454</v>
      </c>
      <c r="E1240" s="149" t="s">
        <v>2745</v>
      </c>
      <c r="F1240" s="149" t="s">
        <v>280</v>
      </c>
      <c r="G1240" s="149" t="s">
        <v>143</v>
      </c>
      <c r="H1240" s="151" t="str">
        <f t="shared" si="96"/>
        <v>1995/10/16</v>
      </c>
      <c r="I1240" s="149" t="s">
        <v>295</v>
      </c>
      <c r="J1240" s="149" t="s">
        <v>3738</v>
      </c>
      <c r="K1240" s="101" t="str">
        <f t="shared" si="97"/>
        <v>95</v>
      </c>
      <c r="L1240" s="101" t="str">
        <f t="shared" si="98"/>
        <v>10</v>
      </c>
      <c r="M1240" s="101" t="str">
        <f t="shared" si="99"/>
        <v>16</v>
      </c>
    </row>
    <row r="1241" spans="1:13">
      <c r="A1241" t="str">
        <f t="shared" si="95"/>
        <v>広島市立大学3240男</v>
      </c>
      <c r="B1241" s="149" t="s">
        <v>977</v>
      </c>
      <c r="C1241" s="149">
        <v>3240</v>
      </c>
      <c r="D1241" s="149" t="s">
        <v>3455</v>
      </c>
      <c r="E1241" s="149" t="s">
        <v>3456</v>
      </c>
      <c r="F1241" s="149" t="s">
        <v>280</v>
      </c>
      <c r="G1241" s="149" t="s">
        <v>143</v>
      </c>
      <c r="H1241" s="151" t="str">
        <f t="shared" si="96"/>
        <v>1996/04/30</v>
      </c>
      <c r="I1241" s="149" t="s">
        <v>295</v>
      </c>
      <c r="J1241" s="149" t="s">
        <v>774</v>
      </c>
      <c r="K1241" s="101" t="str">
        <f t="shared" si="97"/>
        <v>96</v>
      </c>
      <c r="L1241" s="101" t="str">
        <f t="shared" si="98"/>
        <v>04</v>
      </c>
      <c r="M1241" s="101" t="str">
        <f t="shared" si="99"/>
        <v>30</v>
      </c>
    </row>
    <row r="1242" spans="1:13">
      <c r="A1242" t="str">
        <f t="shared" si="95"/>
        <v>広島市立大学3241男</v>
      </c>
      <c r="B1242" s="149" t="s">
        <v>977</v>
      </c>
      <c r="C1242" s="149">
        <v>3241</v>
      </c>
      <c r="D1242" s="149" t="s">
        <v>3457</v>
      </c>
      <c r="E1242" s="149" t="s">
        <v>3458</v>
      </c>
      <c r="F1242" s="149" t="s">
        <v>280</v>
      </c>
      <c r="G1242" s="149" t="s">
        <v>143</v>
      </c>
      <c r="H1242" s="151" t="str">
        <f t="shared" si="96"/>
        <v>1997/01/24</v>
      </c>
      <c r="I1242" s="149" t="s">
        <v>295</v>
      </c>
      <c r="J1242" s="149" t="s">
        <v>715</v>
      </c>
      <c r="K1242" s="101" t="str">
        <f t="shared" si="97"/>
        <v>97</v>
      </c>
      <c r="L1242" s="101" t="str">
        <f t="shared" si="98"/>
        <v>01</v>
      </c>
      <c r="M1242" s="101" t="str">
        <f t="shared" si="99"/>
        <v>24</v>
      </c>
    </row>
    <row r="1243" spans="1:13">
      <c r="A1243" t="str">
        <f t="shared" si="95"/>
        <v>広島国際大学3242男</v>
      </c>
      <c r="B1243" s="149" t="s">
        <v>1361</v>
      </c>
      <c r="C1243" s="149">
        <v>3242</v>
      </c>
      <c r="D1243" s="149" t="s">
        <v>3459</v>
      </c>
      <c r="E1243" s="149" t="s">
        <v>3460</v>
      </c>
      <c r="F1243" s="149" t="s">
        <v>265</v>
      </c>
      <c r="G1243" s="149" t="s">
        <v>143</v>
      </c>
      <c r="H1243" s="151" t="str">
        <f t="shared" si="96"/>
        <v>1994/12/04</v>
      </c>
      <c r="I1243" s="149" t="s">
        <v>295</v>
      </c>
      <c r="J1243" s="149" t="s">
        <v>3986</v>
      </c>
      <c r="K1243" s="101" t="str">
        <f t="shared" si="97"/>
        <v>94</v>
      </c>
      <c r="L1243" s="101" t="str">
        <f t="shared" si="98"/>
        <v>12</v>
      </c>
      <c r="M1243" s="101" t="str">
        <f t="shared" si="99"/>
        <v>04</v>
      </c>
    </row>
    <row r="1244" spans="1:13">
      <c r="A1244" t="str">
        <f t="shared" si="95"/>
        <v>広島経済大学3243男</v>
      </c>
      <c r="B1244" s="149" t="s">
        <v>1600</v>
      </c>
      <c r="C1244" s="149">
        <v>3243</v>
      </c>
      <c r="D1244" s="149" t="s">
        <v>3461</v>
      </c>
      <c r="E1244" s="149" t="s">
        <v>3462</v>
      </c>
      <c r="F1244" s="149" t="s">
        <v>280</v>
      </c>
      <c r="G1244" s="149" t="s">
        <v>143</v>
      </c>
      <c r="H1244" s="151" t="str">
        <f t="shared" si="96"/>
        <v>1997/01/27</v>
      </c>
      <c r="I1244" s="149" t="s">
        <v>295</v>
      </c>
      <c r="J1244" s="149" t="s">
        <v>820</v>
      </c>
      <c r="K1244" s="101" t="str">
        <f t="shared" si="97"/>
        <v>97</v>
      </c>
      <c r="L1244" s="101" t="str">
        <f t="shared" si="98"/>
        <v>01</v>
      </c>
      <c r="M1244" s="101" t="str">
        <f t="shared" si="99"/>
        <v>27</v>
      </c>
    </row>
    <row r="1245" spans="1:13">
      <c r="A1245" t="str">
        <f t="shared" si="95"/>
        <v>広島経済大学3244男</v>
      </c>
      <c r="B1245" s="149" t="s">
        <v>1600</v>
      </c>
      <c r="C1245" s="149">
        <v>3244</v>
      </c>
      <c r="D1245" s="149" t="s">
        <v>3463</v>
      </c>
      <c r="E1245" s="149" t="s">
        <v>3464</v>
      </c>
      <c r="F1245" s="149" t="s">
        <v>264</v>
      </c>
      <c r="G1245" s="149" t="s">
        <v>143</v>
      </c>
      <c r="H1245" s="151" t="str">
        <f t="shared" si="96"/>
        <v>1986/03/13</v>
      </c>
      <c r="I1245" s="149" t="s">
        <v>295</v>
      </c>
      <c r="J1245" s="149" t="s">
        <v>3987</v>
      </c>
      <c r="K1245" s="101" t="str">
        <f t="shared" si="97"/>
        <v>86</v>
      </c>
      <c r="L1245" s="101" t="str">
        <f t="shared" si="98"/>
        <v>03</v>
      </c>
      <c r="M1245" s="101" t="str">
        <f t="shared" si="99"/>
        <v>13</v>
      </c>
    </row>
    <row r="1246" spans="1:13">
      <c r="A1246" t="str">
        <f t="shared" si="95"/>
        <v>川崎医療短期大学3245男</v>
      </c>
      <c r="B1246" s="149" t="s">
        <v>3401</v>
      </c>
      <c r="C1246" s="149">
        <v>3245</v>
      </c>
      <c r="D1246" s="149" t="s">
        <v>3465</v>
      </c>
      <c r="E1246" s="149" t="s">
        <v>3466</v>
      </c>
      <c r="F1246" s="149" t="s">
        <v>280</v>
      </c>
      <c r="G1246" s="149" t="s">
        <v>143</v>
      </c>
      <c r="H1246" s="151" t="str">
        <f t="shared" si="96"/>
        <v>1996/05/18</v>
      </c>
      <c r="I1246" s="149" t="s">
        <v>299</v>
      </c>
      <c r="J1246" s="149" t="s">
        <v>744</v>
      </c>
      <c r="K1246" s="101" t="str">
        <f t="shared" si="97"/>
        <v>96</v>
      </c>
      <c r="L1246" s="101" t="str">
        <f t="shared" si="98"/>
        <v>05</v>
      </c>
      <c r="M1246" s="101" t="str">
        <f t="shared" si="99"/>
        <v>18</v>
      </c>
    </row>
    <row r="1247" spans="1:13">
      <c r="A1247" t="str">
        <f t="shared" si="95"/>
        <v>川崎医療短期大学3246男</v>
      </c>
      <c r="B1247" s="149" t="s">
        <v>3401</v>
      </c>
      <c r="C1247" s="149">
        <v>3246</v>
      </c>
      <c r="D1247" s="149" t="s">
        <v>3467</v>
      </c>
      <c r="E1247" s="149" t="s">
        <v>3468</v>
      </c>
      <c r="F1247" s="149" t="s">
        <v>280</v>
      </c>
      <c r="G1247" s="149" t="s">
        <v>143</v>
      </c>
      <c r="H1247" s="151" t="str">
        <f t="shared" si="96"/>
        <v>1996/10/10</v>
      </c>
      <c r="I1247" s="149" t="s">
        <v>299</v>
      </c>
      <c r="J1247" s="149" t="s">
        <v>932</v>
      </c>
      <c r="K1247" s="101" t="str">
        <f t="shared" si="97"/>
        <v>96</v>
      </c>
      <c r="L1247" s="101" t="str">
        <f t="shared" si="98"/>
        <v>10</v>
      </c>
      <c r="M1247" s="101" t="str">
        <f t="shared" si="99"/>
        <v>10</v>
      </c>
    </row>
    <row r="1248" spans="1:13">
      <c r="A1248" t="str">
        <f t="shared" si="95"/>
        <v>下関市立大学3247男</v>
      </c>
      <c r="B1248" s="149" t="s">
        <v>2318</v>
      </c>
      <c r="C1248" s="149">
        <v>3247</v>
      </c>
      <c r="D1248" s="149" t="s">
        <v>3469</v>
      </c>
      <c r="E1248" s="149" t="s">
        <v>3470</v>
      </c>
      <c r="F1248" s="149" t="s">
        <v>267</v>
      </c>
      <c r="G1248" s="149" t="s">
        <v>143</v>
      </c>
      <c r="H1248" s="151" t="str">
        <f t="shared" si="96"/>
        <v>1995/11/08</v>
      </c>
      <c r="I1248" s="149" t="s">
        <v>269</v>
      </c>
      <c r="J1248" s="149" t="s">
        <v>3988</v>
      </c>
      <c r="K1248" s="101" t="str">
        <f t="shared" si="97"/>
        <v>95</v>
      </c>
      <c r="L1248" s="101" t="str">
        <f t="shared" si="98"/>
        <v>11</v>
      </c>
      <c r="M1248" s="101" t="str">
        <f t="shared" si="99"/>
        <v>08</v>
      </c>
    </row>
    <row r="1249" spans="1:13">
      <c r="A1249" t="str">
        <f t="shared" si="95"/>
        <v>下関市立大学3248男</v>
      </c>
      <c r="B1249" s="149" t="s">
        <v>2318</v>
      </c>
      <c r="C1249" s="149">
        <v>3248</v>
      </c>
      <c r="D1249" s="149" t="s">
        <v>3471</v>
      </c>
      <c r="E1249" s="149" t="s">
        <v>3472</v>
      </c>
      <c r="F1249" s="149" t="s">
        <v>267</v>
      </c>
      <c r="G1249" s="149" t="s">
        <v>143</v>
      </c>
      <c r="H1249" s="151" t="str">
        <f t="shared" si="96"/>
        <v>1996/02/22</v>
      </c>
      <c r="I1249" s="149" t="s">
        <v>269</v>
      </c>
      <c r="J1249" s="149" t="s">
        <v>899</v>
      </c>
      <c r="K1249" s="101" t="str">
        <f t="shared" si="97"/>
        <v>96</v>
      </c>
      <c r="L1249" s="101" t="str">
        <f t="shared" si="98"/>
        <v>02</v>
      </c>
      <c r="M1249" s="101" t="str">
        <f t="shared" si="99"/>
        <v>22</v>
      </c>
    </row>
    <row r="1250" spans="1:13">
      <c r="A1250" t="str">
        <f t="shared" si="95"/>
        <v>下関市立大学3249男</v>
      </c>
      <c r="B1250" s="149" t="s">
        <v>2318</v>
      </c>
      <c r="C1250" s="149">
        <v>3249</v>
      </c>
      <c r="D1250" s="149" t="s">
        <v>3473</v>
      </c>
      <c r="E1250" s="149" t="s">
        <v>3474</v>
      </c>
      <c r="F1250" s="149" t="s">
        <v>267</v>
      </c>
      <c r="G1250" s="149" t="s">
        <v>143</v>
      </c>
      <c r="H1250" s="151" t="str">
        <f t="shared" si="96"/>
        <v>1995/12/20</v>
      </c>
      <c r="I1250" s="149" t="s">
        <v>269</v>
      </c>
      <c r="J1250" s="149" t="s">
        <v>602</v>
      </c>
      <c r="K1250" s="101" t="str">
        <f t="shared" ref="K1250:K1313" si="100">MID(J1250,1,2)</f>
        <v>95</v>
      </c>
      <c r="L1250" s="101" t="str">
        <f t="shared" ref="L1250:L1313" si="101">MID(J1250,3,2)</f>
        <v>12</v>
      </c>
      <c r="M1250" s="101" t="str">
        <f t="shared" ref="M1250:M1313" si="102">MID(J1250,5,2)</f>
        <v>20</v>
      </c>
    </row>
    <row r="1251" spans="1:13">
      <c r="A1251" t="str">
        <f t="shared" si="95"/>
        <v>下関市立大学3250男</v>
      </c>
      <c r="B1251" s="149" t="s">
        <v>2318</v>
      </c>
      <c r="C1251" s="149">
        <v>3250</v>
      </c>
      <c r="D1251" s="149" t="s">
        <v>3475</v>
      </c>
      <c r="E1251" s="149" t="s">
        <v>3476</v>
      </c>
      <c r="F1251" s="149" t="s">
        <v>280</v>
      </c>
      <c r="G1251" s="149" t="s">
        <v>143</v>
      </c>
      <c r="H1251" s="151" t="str">
        <f t="shared" si="96"/>
        <v>1997/01/14</v>
      </c>
      <c r="I1251" s="149" t="s">
        <v>269</v>
      </c>
      <c r="J1251" s="149" t="s">
        <v>3958</v>
      </c>
      <c r="K1251" s="101" t="str">
        <f t="shared" si="100"/>
        <v>97</v>
      </c>
      <c r="L1251" s="101" t="str">
        <f t="shared" si="101"/>
        <v>01</v>
      </c>
      <c r="M1251" s="101" t="str">
        <f t="shared" si="102"/>
        <v>14</v>
      </c>
    </row>
    <row r="1252" spans="1:13">
      <c r="A1252" t="str">
        <f t="shared" si="95"/>
        <v>下関市立大学3251男</v>
      </c>
      <c r="B1252" s="149" t="s">
        <v>2318</v>
      </c>
      <c r="C1252" s="149">
        <v>3251</v>
      </c>
      <c r="D1252" s="149" t="s">
        <v>3477</v>
      </c>
      <c r="E1252" s="149" t="s">
        <v>3478</v>
      </c>
      <c r="F1252" s="149" t="s">
        <v>280</v>
      </c>
      <c r="G1252" s="149" t="s">
        <v>143</v>
      </c>
      <c r="H1252" s="151" t="str">
        <f t="shared" si="96"/>
        <v>1996/06/24</v>
      </c>
      <c r="I1252" s="149" t="s">
        <v>269</v>
      </c>
      <c r="J1252" s="149" t="s">
        <v>705</v>
      </c>
      <c r="K1252" s="101" t="str">
        <f t="shared" si="100"/>
        <v>96</v>
      </c>
      <c r="L1252" s="101" t="str">
        <f t="shared" si="101"/>
        <v>06</v>
      </c>
      <c r="M1252" s="101" t="str">
        <f t="shared" si="102"/>
        <v>24</v>
      </c>
    </row>
    <row r="1253" spans="1:13">
      <c r="A1253" t="str">
        <f t="shared" si="95"/>
        <v>下関市立大学3252男</v>
      </c>
      <c r="B1253" s="149" t="s">
        <v>2318</v>
      </c>
      <c r="C1253" s="149">
        <v>3252</v>
      </c>
      <c r="D1253" s="149" t="s">
        <v>3479</v>
      </c>
      <c r="E1253" s="149" t="s">
        <v>3480</v>
      </c>
      <c r="F1253" s="149" t="s">
        <v>280</v>
      </c>
      <c r="G1253" s="149" t="s">
        <v>143</v>
      </c>
      <c r="H1253" s="151" t="str">
        <f t="shared" si="96"/>
        <v>1996/03/25</v>
      </c>
      <c r="I1253" s="149" t="s">
        <v>269</v>
      </c>
      <c r="J1253" s="149" t="s">
        <v>3658</v>
      </c>
      <c r="K1253" s="101" t="str">
        <f t="shared" si="100"/>
        <v>96</v>
      </c>
      <c r="L1253" s="101" t="str">
        <f t="shared" si="101"/>
        <v>03</v>
      </c>
      <c r="M1253" s="101" t="str">
        <f t="shared" si="102"/>
        <v>25</v>
      </c>
    </row>
    <row r="1254" spans="1:13">
      <c r="A1254" t="str">
        <f t="shared" si="95"/>
        <v>下関市立大学3253男</v>
      </c>
      <c r="B1254" s="149" t="s">
        <v>2318</v>
      </c>
      <c r="C1254" s="149">
        <v>3253</v>
      </c>
      <c r="D1254" s="149" t="s">
        <v>3481</v>
      </c>
      <c r="E1254" s="149" t="s">
        <v>3482</v>
      </c>
      <c r="F1254" s="149" t="s">
        <v>267</v>
      </c>
      <c r="G1254" s="149" t="s">
        <v>143</v>
      </c>
      <c r="H1254" s="151" t="str">
        <f t="shared" si="96"/>
        <v>1995/06/20</v>
      </c>
      <c r="I1254" s="149" t="s">
        <v>269</v>
      </c>
      <c r="J1254" s="149" t="s">
        <v>3837</v>
      </c>
      <c r="K1254" s="101" t="str">
        <f t="shared" si="100"/>
        <v>95</v>
      </c>
      <c r="L1254" s="101" t="str">
        <f t="shared" si="101"/>
        <v>06</v>
      </c>
      <c r="M1254" s="101" t="str">
        <f t="shared" si="102"/>
        <v>20</v>
      </c>
    </row>
    <row r="1255" spans="1:13">
      <c r="A1255" t="str">
        <f t="shared" si="95"/>
        <v>下関市立大学3254男</v>
      </c>
      <c r="B1255" s="149" t="s">
        <v>2318</v>
      </c>
      <c r="C1255" s="149">
        <v>3254</v>
      </c>
      <c r="D1255" s="149" t="s">
        <v>3483</v>
      </c>
      <c r="E1255" s="149" t="s">
        <v>3484</v>
      </c>
      <c r="F1255" s="149" t="s">
        <v>267</v>
      </c>
      <c r="G1255" s="149" t="s">
        <v>143</v>
      </c>
      <c r="H1255" s="151" t="str">
        <f t="shared" si="96"/>
        <v>1995/04/08</v>
      </c>
      <c r="I1255" s="149" t="s">
        <v>269</v>
      </c>
      <c r="J1255" s="149" t="s">
        <v>381</v>
      </c>
      <c r="K1255" s="101" t="str">
        <f t="shared" si="100"/>
        <v>95</v>
      </c>
      <c r="L1255" s="101" t="str">
        <f t="shared" si="101"/>
        <v>04</v>
      </c>
      <c r="M1255" s="101" t="str">
        <f t="shared" si="102"/>
        <v>08</v>
      </c>
    </row>
    <row r="1256" spans="1:13">
      <c r="A1256" t="str">
        <f t="shared" si="95"/>
        <v>下関市立大学3255男</v>
      </c>
      <c r="B1256" s="149" t="s">
        <v>2318</v>
      </c>
      <c r="C1256" s="149">
        <v>3255</v>
      </c>
      <c r="D1256" s="149" t="s">
        <v>3485</v>
      </c>
      <c r="E1256" s="149" t="s">
        <v>3486</v>
      </c>
      <c r="F1256" s="149" t="s">
        <v>280</v>
      </c>
      <c r="G1256" s="149" t="s">
        <v>143</v>
      </c>
      <c r="H1256" s="151" t="str">
        <f t="shared" si="96"/>
        <v>1996/10/19</v>
      </c>
      <c r="I1256" s="149" t="s">
        <v>269</v>
      </c>
      <c r="J1256" s="149" t="s">
        <v>3989</v>
      </c>
      <c r="K1256" s="101" t="str">
        <f t="shared" si="100"/>
        <v>96</v>
      </c>
      <c r="L1256" s="101" t="str">
        <f t="shared" si="101"/>
        <v>10</v>
      </c>
      <c r="M1256" s="101" t="str">
        <f t="shared" si="102"/>
        <v>19</v>
      </c>
    </row>
    <row r="1257" spans="1:13">
      <c r="A1257" t="str">
        <f t="shared" si="95"/>
        <v>下関市立大学3256男</v>
      </c>
      <c r="B1257" s="149" t="s">
        <v>2318</v>
      </c>
      <c r="C1257" s="149">
        <v>3256</v>
      </c>
      <c r="D1257" s="149" t="s">
        <v>3487</v>
      </c>
      <c r="E1257" s="149" t="s">
        <v>3488</v>
      </c>
      <c r="F1257" s="149" t="s">
        <v>267</v>
      </c>
      <c r="G1257" s="149" t="s">
        <v>143</v>
      </c>
      <c r="H1257" s="151" t="str">
        <f t="shared" si="96"/>
        <v>1995/07/19</v>
      </c>
      <c r="I1257" s="149" t="s">
        <v>269</v>
      </c>
      <c r="J1257" s="149" t="s">
        <v>692</v>
      </c>
      <c r="K1257" s="101" t="str">
        <f t="shared" si="100"/>
        <v>95</v>
      </c>
      <c r="L1257" s="101" t="str">
        <f t="shared" si="101"/>
        <v>07</v>
      </c>
      <c r="M1257" s="101" t="str">
        <f t="shared" si="102"/>
        <v>19</v>
      </c>
    </row>
    <row r="1258" spans="1:13">
      <c r="A1258" t="str">
        <f t="shared" si="95"/>
        <v>下関市立大学3257男</v>
      </c>
      <c r="B1258" s="149" t="s">
        <v>2318</v>
      </c>
      <c r="C1258" s="149">
        <v>3257</v>
      </c>
      <c r="D1258" s="149" t="s">
        <v>3489</v>
      </c>
      <c r="E1258" s="149" t="s">
        <v>3490</v>
      </c>
      <c r="F1258" s="149" t="s">
        <v>280</v>
      </c>
      <c r="G1258" s="149" t="s">
        <v>143</v>
      </c>
      <c r="H1258" s="151" t="str">
        <f t="shared" si="96"/>
        <v>1996/12/26</v>
      </c>
      <c r="I1258" s="149" t="s">
        <v>269</v>
      </c>
      <c r="J1258" s="149" t="s">
        <v>802</v>
      </c>
      <c r="K1258" s="101" t="str">
        <f t="shared" si="100"/>
        <v>96</v>
      </c>
      <c r="L1258" s="101" t="str">
        <f t="shared" si="101"/>
        <v>12</v>
      </c>
      <c r="M1258" s="101" t="str">
        <f t="shared" si="102"/>
        <v>26</v>
      </c>
    </row>
    <row r="1259" spans="1:13">
      <c r="A1259" t="str">
        <f t="shared" si="95"/>
        <v>下関市立大学3258男</v>
      </c>
      <c r="B1259" s="149" t="s">
        <v>2318</v>
      </c>
      <c r="C1259" s="149">
        <v>3258</v>
      </c>
      <c r="D1259" s="149" t="s">
        <v>3491</v>
      </c>
      <c r="E1259" s="149" t="s">
        <v>3492</v>
      </c>
      <c r="F1259" s="149" t="s">
        <v>280</v>
      </c>
      <c r="G1259" s="149" t="s">
        <v>143</v>
      </c>
      <c r="H1259" s="151" t="str">
        <f t="shared" si="96"/>
        <v>1996/07/01</v>
      </c>
      <c r="I1259" s="149" t="s">
        <v>269</v>
      </c>
      <c r="J1259" s="149" t="s">
        <v>3990</v>
      </c>
      <c r="K1259" s="101" t="str">
        <f t="shared" si="100"/>
        <v>96</v>
      </c>
      <c r="L1259" s="101" t="str">
        <f t="shared" si="101"/>
        <v>07</v>
      </c>
      <c r="M1259" s="101" t="str">
        <f t="shared" si="102"/>
        <v>01</v>
      </c>
    </row>
    <row r="1260" spans="1:13">
      <c r="A1260" t="str">
        <f t="shared" si="95"/>
        <v>下関市立大学3259男</v>
      </c>
      <c r="B1260" s="149" t="s">
        <v>2318</v>
      </c>
      <c r="C1260" s="149">
        <v>3259</v>
      </c>
      <c r="D1260" s="149" t="s">
        <v>3493</v>
      </c>
      <c r="E1260" s="149" t="s">
        <v>3494</v>
      </c>
      <c r="F1260" s="149" t="s">
        <v>280</v>
      </c>
      <c r="G1260" s="149" t="s">
        <v>143</v>
      </c>
      <c r="H1260" s="151" t="str">
        <f t="shared" si="96"/>
        <v>1996/07/02</v>
      </c>
      <c r="I1260" s="149" t="s">
        <v>269</v>
      </c>
      <c r="J1260" s="149" t="s">
        <v>775</v>
      </c>
      <c r="K1260" s="101" t="str">
        <f t="shared" si="100"/>
        <v>96</v>
      </c>
      <c r="L1260" s="101" t="str">
        <f t="shared" si="101"/>
        <v>07</v>
      </c>
      <c r="M1260" s="101" t="str">
        <f t="shared" si="102"/>
        <v>02</v>
      </c>
    </row>
    <row r="1261" spans="1:13">
      <c r="A1261" t="str">
        <f t="shared" si="95"/>
        <v>下関市立大学3260男</v>
      </c>
      <c r="B1261" s="149" t="s">
        <v>2318</v>
      </c>
      <c r="C1261" s="149">
        <v>3260</v>
      </c>
      <c r="D1261" s="149" t="s">
        <v>3495</v>
      </c>
      <c r="E1261" s="149" t="s">
        <v>3496</v>
      </c>
      <c r="F1261" s="149" t="s">
        <v>280</v>
      </c>
      <c r="G1261" s="149" t="s">
        <v>143</v>
      </c>
      <c r="H1261" s="151" t="str">
        <f t="shared" si="96"/>
        <v>1997/02/02</v>
      </c>
      <c r="I1261" s="149" t="s">
        <v>269</v>
      </c>
      <c r="J1261" s="149" t="s">
        <v>3991</v>
      </c>
      <c r="K1261" s="101" t="str">
        <f t="shared" si="100"/>
        <v>97</v>
      </c>
      <c r="L1261" s="101" t="str">
        <f t="shared" si="101"/>
        <v>02</v>
      </c>
      <c r="M1261" s="101" t="str">
        <f t="shared" si="102"/>
        <v>02</v>
      </c>
    </row>
    <row r="1262" spans="1:13">
      <c r="A1262" t="str">
        <f t="shared" si="95"/>
        <v>下関市立大学3261男</v>
      </c>
      <c r="B1262" s="149" t="s">
        <v>2318</v>
      </c>
      <c r="C1262" s="149">
        <v>3261</v>
      </c>
      <c r="D1262" s="149" t="s">
        <v>3497</v>
      </c>
      <c r="E1262" s="149" t="s">
        <v>3498</v>
      </c>
      <c r="F1262" s="149" t="s">
        <v>280</v>
      </c>
      <c r="G1262" s="149" t="s">
        <v>143</v>
      </c>
      <c r="H1262" s="151" t="str">
        <f t="shared" si="96"/>
        <v>1996/06/13</v>
      </c>
      <c r="I1262" s="149" t="s">
        <v>269</v>
      </c>
      <c r="J1262" s="149" t="s">
        <v>3969</v>
      </c>
      <c r="K1262" s="101" t="str">
        <f t="shared" si="100"/>
        <v>96</v>
      </c>
      <c r="L1262" s="101" t="str">
        <f t="shared" si="101"/>
        <v>06</v>
      </c>
      <c r="M1262" s="101" t="str">
        <f t="shared" si="102"/>
        <v>13</v>
      </c>
    </row>
    <row r="1263" spans="1:13">
      <c r="A1263" t="str">
        <f t="shared" si="95"/>
        <v>下関市立大学3262男</v>
      </c>
      <c r="B1263" s="149" t="s">
        <v>2318</v>
      </c>
      <c r="C1263" s="149">
        <v>3262</v>
      </c>
      <c r="D1263" s="149" t="s">
        <v>3499</v>
      </c>
      <c r="E1263" s="149" t="s">
        <v>3500</v>
      </c>
      <c r="F1263" s="149" t="s">
        <v>280</v>
      </c>
      <c r="G1263" s="149" t="s">
        <v>143</v>
      </c>
      <c r="H1263" s="151" t="str">
        <f t="shared" si="96"/>
        <v>1996/05/28</v>
      </c>
      <c r="I1263" s="149" t="s">
        <v>269</v>
      </c>
      <c r="J1263" s="149" t="s">
        <v>912</v>
      </c>
      <c r="K1263" s="101" t="str">
        <f t="shared" si="100"/>
        <v>96</v>
      </c>
      <c r="L1263" s="101" t="str">
        <f t="shared" si="101"/>
        <v>05</v>
      </c>
      <c r="M1263" s="101" t="str">
        <f t="shared" si="102"/>
        <v>28</v>
      </c>
    </row>
    <row r="1264" spans="1:13">
      <c r="A1264" t="str">
        <f t="shared" si="95"/>
        <v>下関市立大学3263男</v>
      </c>
      <c r="B1264" s="149" t="s">
        <v>2318</v>
      </c>
      <c r="C1264" s="149">
        <v>3263</v>
      </c>
      <c r="D1264" s="149" t="s">
        <v>3501</v>
      </c>
      <c r="E1264" s="149" t="s">
        <v>3502</v>
      </c>
      <c r="F1264" s="149" t="s">
        <v>280</v>
      </c>
      <c r="G1264" s="149" t="s">
        <v>143</v>
      </c>
      <c r="H1264" s="151" t="str">
        <f t="shared" si="96"/>
        <v>1996/11/01</v>
      </c>
      <c r="I1264" s="149" t="s">
        <v>269</v>
      </c>
      <c r="J1264" s="149" t="s">
        <v>3992</v>
      </c>
      <c r="K1264" s="101" t="str">
        <f t="shared" si="100"/>
        <v>96</v>
      </c>
      <c r="L1264" s="101" t="str">
        <f t="shared" si="101"/>
        <v>11</v>
      </c>
      <c r="M1264" s="101" t="str">
        <f t="shared" si="102"/>
        <v>01</v>
      </c>
    </row>
    <row r="1265" spans="1:13">
      <c r="A1265" t="str">
        <f t="shared" si="95"/>
        <v>広島修道大学3264男</v>
      </c>
      <c r="B1265" s="149" t="s">
        <v>2033</v>
      </c>
      <c r="C1265" s="149">
        <v>3264</v>
      </c>
      <c r="D1265" s="149" t="s">
        <v>3503</v>
      </c>
      <c r="E1265" s="149" t="s">
        <v>3504</v>
      </c>
      <c r="F1265" s="149" t="s">
        <v>280</v>
      </c>
      <c r="G1265" s="149" t="s">
        <v>143</v>
      </c>
      <c r="H1265" s="151" t="str">
        <f t="shared" si="96"/>
        <v>1996/07/08</v>
      </c>
      <c r="I1265" s="149" t="s">
        <v>301</v>
      </c>
      <c r="J1265" s="149" t="s">
        <v>3959</v>
      </c>
      <c r="K1265" s="101" t="str">
        <f t="shared" si="100"/>
        <v>96</v>
      </c>
      <c r="L1265" s="101" t="str">
        <f t="shared" si="101"/>
        <v>07</v>
      </c>
      <c r="M1265" s="101" t="str">
        <f t="shared" si="102"/>
        <v>08</v>
      </c>
    </row>
    <row r="1266" spans="1:13">
      <c r="A1266" t="str">
        <f t="shared" si="95"/>
        <v>広島修道大学3265男</v>
      </c>
      <c r="B1266" s="149" t="s">
        <v>2033</v>
      </c>
      <c r="C1266" s="149">
        <v>3265</v>
      </c>
      <c r="D1266" s="149" t="s">
        <v>3505</v>
      </c>
      <c r="E1266" s="149" t="s">
        <v>3506</v>
      </c>
      <c r="F1266" s="149" t="s">
        <v>280</v>
      </c>
      <c r="G1266" s="149" t="s">
        <v>143</v>
      </c>
      <c r="H1266" s="151" t="str">
        <f t="shared" si="96"/>
        <v>1996/09/23</v>
      </c>
      <c r="I1266" s="149" t="s">
        <v>295</v>
      </c>
      <c r="J1266" s="149" t="s">
        <v>916</v>
      </c>
      <c r="K1266" s="101" t="str">
        <f t="shared" si="100"/>
        <v>96</v>
      </c>
      <c r="L1266" s="101" t="str">
        <f t="shared" si="101"/>
        <v>09</v>
      </c>
      <c r="M1266" s="101" t="str">
        <f t="shared" si="102"/>
        <v>23</v>
      </c>
    </row>
    <row r="1267" spans="1:13">
      <c r="A1267" t="str">
        <f t="shared" si="95"/>
        <v>広島修道大学3266男</v>
      </c>
      <c r="B1267" s="149" t="s">
        <v>2033</v>
      </c>
      <c r="C1267" s="149">
        <v>3266</v>
      </c>
      <c r="D1267" s="149" t="s">
        <v>3507</v>
      </c>
      <c r="E1267" s="149" t="s">
        <v>3508</v>
      </c>
      <c r="F1267" s="149" t="s">
        <v>280</v>
      </c>
      <c r="G1267" s="149" t="s">
        <v>143</v>
      </c>
      <c r="H1267" s="151" t="str">
        <f t="shared" si="96"/>
        <v>1996/10/04</v>
      </c>
      <c r="I1267" s="149" t="s">
        <v>295</v>
      </c>
      <c r="J1267" s="149" t="s">
        <v>3993</v>
      </c>
      <c r="K1267" s="101" t="str">
        <f t="shared" si="100"/>
        <v>96</v>
      </c>
      <c r="L1267" s="101" t="str">
        <f t="shared" si="101"/>
        <v>10</v>
      </c>
      <c r="M1267" s="101" t="str">
        <f t="shared" si="102"/>
        <v>04</v>
      </c>
    </row>
    <row r="1268" spans="1:13">
      <c r="A1268" t="str">
        <f t="shared" si="95"/>
        <v>広島修道大学3267男</v>
      </c>
      <c r="B1268" s="149" t="s">
        <v>2033</v>
      </c>
      <c r="C1268" s="149">
        <v>3267</v>
      </c>
      <c r="D1268" s="149" t="s">
        <v>3509</v>
      </c>
      <c r="E1268" s="149" t="s">
        <v>3510</v>
      </c>
      <c r="F1268" s="149" t="s">
        <v>280</v>
      </c>
      <c r="G1268" s="149" t="s">
        <v>143</v>
      </c>
      <c r="H1268" s="151" t="str">
        <f t="shared" si="96"/>
        <v>1996/07/19</v>
      </c>
      <c r="I1268" s="149" t="s">
        <v>295</v>
      </c>
      <c r="J1268" s="149" t="s">
        <v>3925</v>
      </c>
      <c r="K1268" s="101" t="str">
        <f t="shared" si="100"/>
        <v>96</v>
      </c>
      <c r="L1268" s="101" t="str">
        <f t="shared" si="101"/>
        <v>07</v>
      </c>
      <c r="M1268" s="101" t="str">
        <f t="shared" si="102"/>
        <v>19</v>
      </c>
    </row>
    <row r="1269" spans="1:13">
      <c r="A1269" t="str">
        <f t="shared" si="95"/>
        <v>広島修道大学3268男</v>
      </c>
      <c r="B1269" s="149" t="s">
        <v>2033</v>
      </c>
      <c r="C1269" s="149">
        <v>3268</v>
      </c>
      <c r="D1269" s="149" t="s">
        <v>3511</v>
      </c>
      <c r="E1269" s="149" t="s">
        <v>322</v>
      </c>
      <c r="F1269" s="149" t="s">
        <v>280</v>
      </c>
      <c r="G1269" s="149" t="s">
        <v>143</v>
      </c>
      <c r="H1269" s="151" t="str">
        <f t="shared" si="96"/>
        <v>1996/08/09</v>
      </c>
      <c r="I1269" s="149" t="s">
        <v>295</v>
      </c>
      <c r="J1269" s="149" t="s">
        <v>3994</v>
      </c>
      <c r="K1269" s="101" t="str">
        <f t="shared" si="100"/>
        <v>96</v>
      </c>
      <c r="L1269" s="101" t="str">
        <f t="shared" si="101"/>
        <v>08</v>
      </c>
      <c r="M1269" s="101" t="str">
        <f t="shared" si="102"/>
        <v>09</v>
      </c>
    </row>
    <row r="1270" spans="1:13">
      <c r="A1270" t="str">
        <f t="shared" si="95"/>
        <v>広島修道大学3269男</v>
      </c>
      <c r="B1270" s="149" t="s">
        <v>2033</v>
      </c>
      <c r="C1270" s="149">
        <v>3269</v>
      </c>
      <c r="D1270" s="149" t="s">
        <v>3512</v>
      </c>
      <c r="E1270" s="149" t="s">
        <v>3513</v>
      </c>
      <c r="F1270" s="149" t="s">
        <v>280</v>
      </c>
      <c r="G1270" s="149" t="s">
        <v>143</v>
      </c>
      <c r="H1270" s="151" t="str">
        <f t="shared" si="96"/>
        <v>1996/10/10</v>
      </c>
      <c r="I1270" s="149" t="s">
        <v>295</v>
      </c>
      <c r="J1270" s="149" t="s">
        <v>932</v>
      </c>
      <c r="K1270" s="101" t="str">
        <f t="shared" si="100"/>
        <v>96</v>
      </c>
      <c r="L1270" s="101" t="str">
        <f t="shared" si="101"/>
        <v>10</v>
      </c>
      <c r="M1270" s="101" t="str">
        <f t="shared" si="102"/>
        <v>10</v>
      </c>
    </row>
    <row r="1271" spans="1:13">
      <c r="A1271" t="str">
        <f t="shared" si="95"/>
        <v>香川大学3270男</v>
      </c>
      <c r="B1271" s="149" t="s">
        <v>1895</v>
      </c>
      <c r="C1271" s="149">
        <v>3270</v>
      </c>
      <c r="D1271" s="149" t="s">
        <v>3514</v>
      </c>
      <c r="E1271" s="149" t="s">
        <v>3515</v>
      </c>
      <c r="F1271" s="149" t="s">
        <v>262</v>
      </c>
      <c r="G1271" s="149" t="s">
        <v>143</v>
      </c>
      <c r="H1271" s="151" t="str">
        <f t="shared" si="96"/>
        <v>1991/06/10</v>
      </c>
      <c r="I1271" s="149" t="s">
        <v>289</v>
      </c>
      <c r="J1271" s="149" t="s">
        <v>3995</v>
      </c>
      <c r="K1271" s="101" t="str">
        <f t="shared" si="100"/>
        <v>91</v>
      </c>
      <c r="L1271" s="101" t="str">
        <f t="shared" si="101"/>
        <v>06</v>
      </c>
      <c r="M1271" s="101" t="str">
        <f t="shared" si="102"/>
        <v>10</v>
      </c>
    </row>
    <row r="1272" spans="1:13">
      <c r="A1272" t="str">
        <f t="shared" si="95"/>
        <v>香川大学3271男</v>
      </c>
      <c r="B1272" s="149" t="s">
        <v>1895</v>
      </c>
      <c r="C1272" s="149">
        <v>3271</v>
      </c>
      <c r="D1272" s="149" t="s">
        <v>3516</v>
      </c>
      <c r="E1272" s="149" t="s">
        <v>3517</v>
      </c>
      <c r="F1272" s="149" t="s">
        <v>280</v>
      </c>
      <c r="G1272" s="149" t="s">
        <v>143</v>
      </c>
      <c r="H1272" s="151" t="str">
        <f t="shared" si="96"/>
        <v>1996/07/22</v>
      </c>
      <c r="I1272" s="149" t="s">
        <v>289</v>
      </c>
      <c r="J1272" s="149" t="s">
        <v>743</v>
      </c>
      <c r="K1272" s="101" t="str">
        <f t="shared" si="100"/>
        <v>96</v>
      </c>
      <c r="L1272" s="101" t="str">
        <f t="shared" si="101"/>
        <v>07</v>
      </c>
      <c r="M1272" s="101" t="str">
        <f t="shared" si="102"/>
        <v>22</v>
      </c>
    </row>
    <row r="1273" spans="1:13">
      <c r="A1273" t="str">
        <f t="shared" si="95"/>
        <v>香川大学3272男</v>
      </c>
      <c r="B1273" s="149" t="s">
        <v>1895</v>
      </c>
      <c r="C1273" s="149">
        <v>3272</v>
      </c>
      <c r="D1273" s="149" t="s">
        <v>3518</v>
      </c>
      <c r="E1273" s="149" t="s">
        <v>3519</v>
      </c>
      <c r="F1273" s="149" t="s">
        <v>280</v>
      </c>
      <c r="G1273" s="149" t="s">
        <v>143</v>
      </c>
      <c r="H1273" s="151" t="str">
        <f t="shared" si="96"/>
        <v>1996/07/13</v>
      </c>
      <c r="I1273" s="149" t="s">
        <v>289</v>
      </c>
      <c r="J1273" s="149" t="s">
        <v>647</v>
      </c>
      <c r="K1273" s="101" t="str">
        <f t="shared" si="100"/>
        <v>96</v>
      </c>
      <c r="L1273" s="101" t="str">
        <f t="shared" si="101"/>
        <v>07</v>
      </c>
      <c r="M1273" s="101" t="str">
        <f t="shared" si="102"/>
        <v>13</v>
      </c>
    </row>
    <row r="1274" spans="1:13">
      <c r="A1274" t="str">
        <f t="shared" si="95"/>
        <v>香川大学3273男</v>
      </c>
      <c r="B1274" s="149" t="s">
        <v>1895</v>
      </c>
      <c r="C1274" s="149">
        <v>3273</v>
      </c>
      <c r="D1274" s="149" t="s">
        <v>3520</v>
      </c>
      <c r="E1274" s="149" t="s">
        <v>3521</v>
      </c>
      <c r="F1274" s="149" t="s">
        <v>280</v>
      </c>
      <c r="G1274" s="149" t="s">
        <v>143</v>
      </c>
      <c r="H1274" s="151" t="str">
        <f t="shared" si="96"/>
        <v>1996/07/23</v>
      </c>
      <c r="I1274" s="149" t="s">
        <v>289</v>
      </c>
      <c r="J1274" s="149" t="s">
        <v>3996</v>
      </c>
      <c r="K1274" s="101" t="str">
        <f t="shared" si="100"/>
        <v>96</v>
      </c>
      <c r="L1274" s="101" t="str">
        <f t="shared" si="101"/>
        <v>07</v>
      </c>
      <c r="M1274" s="101" t="str">
        <f t="shared" si="102"/>
        <v>23</v>
      </c>
    </row>
    <row r="1275" spans="1:13">
      <c r="A1275" t="str">
        <f t="shared" si="95"/>
        <v>鳴門教育大学3274男</v>
      </c>
      <c r="B1275" s="149" t="s">
        <v>2088</v>
      </c>
      <c r="C1275" s="149">
        <v>3274</v>
      </c>
      <c r="D1275" s="149" t="s">
        <v>3522</v>
      </c>
      <c r="E1275" s="149" t="s">
        <v>3523</v>
      </c>
      <c r="F1275" s="149" t="s">
        <v>264</v>
      </c>
      <c r="G1275" s="149" t="s">
        <v>143</v>
      </c>
      <c r="H1275" s="151" t="str">
        <f t="shared" si="96"/>
        <v>1992/11/02</v>
      </c>
      <c r="I1275" s="149" t="s">
        <v>276</v>
      </c>
      <c r="J1275" s="149" t="s">
        <v>3997</v>
      </c>
      <c r="K1275" s="101" t="str">
        <f t="shared" si="100"/>
        <v>92</v>
      </c>
      <c r="L1275" s="101" t="str">
        <f t="shared" si="101"/>
        <v>11</v>
      </c>
      <c r="M1275" s="101" t="str">
        <f t="shared" si="102"/>
        <v>02</v>
      </c>
    </row>
    <row r="1276" spans="1:13">
      <c r="A1276" t="str">
        <f t="shared" si="95"/>
        <v>四国大学3275男</v>
      </c>
      <c r="B1276" s="149" t="s">
        <v>1995</v>
      </c>
      <c r="C1276" s="149">
        <v>3275</v>
      </c>
      <c r="D1276" s="149" t="s">
        <v>3524</v>
      </c>
      <c r="E1276" s="149" t="s">
        <v>3525</v>
      </c>
      <c r="F1276" s="149" t="s">
        <v>280</v>
      </c>
      <c r="G1276" s="149" t="s">
        <v>143</v>
      </c>
      <c r="H1276" s="151" t="str">
        <f t="shared" si="96"/>
        <v>1996/04/12</v>
      </c>
      <c r="I1276" s="149" t="s">
        <v>276</v>
      </c>
      <c r="J1276" s="149" t="s">
        <v>3998</v>
      </c>
      <c r="K1276" s="101" t="str">
        <f t="shared" si="100"/>
        <v>96</v>
      </c>
      <c r="L1276" s="101" t="str">
        <f t="shared" si="101"/>
        <v>04</v>
      </c>
      <c r="M1276" s="101" t="str">
        <f t="shared" si="102"/>
        <v>12</v>
      </c>
    </row>
    <row r="1277" spans="1:13">
      <c r="A1277" t="str">
        <f t="shared" si="95"/>
        <v>四国大学3276男</v>
      </c>
      <c r="B1277" s="149" t="s">
        <v>1995</v>
      </c>
      <c r="C1277" s="149">
        <v>3276</v>
      </c>
      <c r="D1277" s="149" t="s">
        <v>3526</v>
      </c>
      <c r="E1277" s="149" t="s">
        <v>3527</v>
      </c>
      <c r="F1277" s="149" t="s">
        <v>280</v>
      </c>
      <c r="G1277" s="149" t="s">
        <v>143</v>
      </c>
      <c r="H1277" s="151" t="str">
        <f t="shared" si="96"/>
        <v>1996/04/29</v>
      </c>
      <c r="I1277" s="149" t="s">
        <v>276</v>
      </c>
      <c r="J1277" s="149" t="s">
        <v>742</v>
      </c>
      <c r="K1277" s="101" t="str">
        <f t="shared" si="100"/>
        <v>96</v>
      </c>
      <c r="L1277" s="101" t="str">
        <f t="shared" si="101"/>
        <v>04</v>
      </c>
      <c r="M1277" s="101" t="str">
        <f t="shared" si="102"/>
        <v>29</v>
      </c>
    </row>
    <row r="1278" spans="1:13">
      <c r="A1278" t="str">
        <f t="shared" si="95"/>
        <v>四国大学3277男</v>
      </c>
      <c r="B1278" s="149" t="s">
        <v>1995</v>
      </c>
      <c r="C1278" s="149">
        <v>3277</v>
      </c>
      <c r="D1278" s="149" t="s">
        <v>3528</v>
      </c>
      <c r="E1278" s="149" t="s">
        <v>3529</v>
      </c>
      <c r="F1278" s="149" t="s">
        <v>280</v>
      </c>
      <c r="G1278" s="149" t="s">
        <v>143</v>
      </c>
      <c r="H1278" s="151" t="str">
        <f t="shared" si="96"/>
        <v>1996/04/21</v>
      </c>
      <c r="I1278" s="149" t="s">
        <v>276</v>
      </c>
      <c r="J1278" s="149" t="s">
        <v>729</v>
      </c>
      <c r="K1278" s="101" t="str">
        <f t="shared" si="100"/>
        <v>96</v>
      </c>
      <c r="L1278" s="101" t="str">
        <f t="shared" si="101"/>
        <v>04</v>
      </c>
      <c r="M1278" s="101" t="str">
        <f t="shared" si="102"/>
        <v>21</v>
      </c>
    </row>
    <row r="1279" spans="1:13">
      <c r="A1279" t="str">
        <f t="shared" si="95"/>
        <v>倉敷芸術科学大学3278男</v>
      </c>
      <c r="B1279" s="149" t="s">
        <v>1119</v>
      </c>
      <c r="C1279" s="149">
        <v>3278</v>
      </c>
      <c r="D1279" s="149" t="s">
        <v>3530</v>
      </c>
      <c r="E1279" s="149" t="s">
        <v>3531</v>
      </c>
      <c r="F1279" s="149" t="s">
        <v>280</v>
      </c>
      <c r="G1279" s="149" t="s">
        <v>143</v>
      </c>
      <c r="H1279" s="151" t="str">
        <f t="shared" si="96"/>
        <v>1996/04/29</v>
      </c>
      <c r="I1279" s="149" t="s">
        <v>299</v>
      </c>
      <c r="J1279" s="149" t="s">
        <v>742</v>
      </c>
      <c r="K1279" s="101" t="str">
        <f t="shared" si="100"/>
        <v>96</v>
      </c>
      <c r="L1279" s="101" t="str">
        <f t="shared" si="101"/>
        <v>04</v>
      </c>
      <c r="M1279" s="101" t="str">
        <f t="shared" si="102"/>
        <v>29</v>
      </c>
    </row>
    <row r="1280" spans="1:13">
      <c r="A1280" t="str">
        <f t="shared" si="95"/>
        <v>山口大学3279男</v>
      </c>
      <c r="B1280" s="149" t="s">
        <v>1311</v>
      </c>
      <c r="C1280" s="149">
        <v>3279</v>
      </c>
      <c r="D1280" s="149" t="s">
        <v>3532</v>
      </c>
      <c r="E1280" s="149" t="s">
        <v>3533</v>
      </c>
      <c r="F1280" s="149" t="s">
        <v>267</v>
      </c>
      <c r="G1280" s="149" t="s">
        <v>143</v>
      </c>
      <c r="H1280" s="151" t="str">
        <f t="shared" si="96"/>
        <v>1995/11/07</v>
      </c>
      <c r="I1280" s="149" t="s">
        <v>269</v>
      </c>
      <c r="J1280" s="149" t="s">
        <v>863</v>
      </c>
      <c r="K1280" s="101" t="str">
        <f t="shared" si="100"/>
        <v>95</v>
      </c>
      <c r="L1280" s="101" t="str">
        <f t="shared" si="101"/>
        <v>11</v>
      </c>
      <c r="M1280" s="101" t="str">
        <f t="shared" si="102"/>
        <v>07</v>
      </c>
    </row>
    <row r="1281" spans="1:13">
      <c r="A1281" t="str">
        <f t="shared" si="95"/>
        <v>山口大学3280男</v>
      </c>
      <c r="B1281" s="149" t="s">
        <v>1311</v>
      </c>
      <c r="C1281" s="149">
        <v>3280</v>
      </c>
      <c r="D1281" s="149" t="s">
        <v>3534</v>
      </c>
      <c r="E1281" s="149" t="s">
        <v>3535</v>
      </c>
      <c r="F1281" s="149" t="s">
        <v>280</v>
      </c>
      <c r="G1281" s="149" t="s">
        <v>143</v>
      </c>
      <c r="H1281" s="151" t="str">
        <f t="shared" si="96"/>
        <v>1996/06/12</v>
      </c>
      <c r="I1281" s="149" t="s">
        <v>269</v>
      </c>
      <c r="J1281" s="149" t="s">
        <v>741</v>
      </c>
      <c r="K1281" s="101" t="str">
        <f t="shared" si="100"/>
        <v>96</v>
      </c>
      <c r="L1281" s="101" t="str">
        <f t="shared" si="101"/>
        <v>06</v>
      </c>
      <c r="M1281" s="101" t="str">
        <f t="shared" si="102"/>
        <v>12</v>
      </c>
    </row>
    <row r="1282" spans="1:13">
      <c r="A1282" t="str">
        <f t="shared" ref="A1282:A1345" si="103">B1282&amp;C1282&amp;G1282</f>
        <v>山口大学3281男</v>
      </c>
      <c r="B1282" s="149" t="s">
        <v>1311</v>
      </c>
      <c r="C1282" s="149">
        <v>3281</v>
      </c>
      <c r="D1282" s="149" t="s">
        <v>3536</v>
      </c>
      <c r="E1282" s="149" t="s">
        <v>3537</v>
      </c>
      <c r="F1282" s="149" t="s">
        <v>280</v>
      </c>
      <c r="G1282" s="149" t="s">
        <v>143</v>
      </c>
      <c r="H1282" s="151" t="str">
        <f t="shared" si="96"/>
        <v>1996/06/16</v>
      </c>
      <c r="I1282" s="149" t="s">
        <v>269</v>
      </c>
      <c r="J1282" s="149" t="s">
        <v>759</v>
      </c>
      <c r="K1282" s="101" t="str">
        <f t="shared" si="100"/>
        <v>96</v>
      </c>
      <c r="L1282" s="101" t="str">
        <f t="shared" si="101"/>
        <v>06</v>
      </c>
      <c r="M1282" s="101" t="str">
        <f t="shared" si="102"/>
        <v>16</v>
      </c>
    </row>
    <row r="1283" spans="1:13">
      <c r="A1283" t="str">
        <f t="shared" si="103"/>
        <v>山口大学3282男</v>
      </c>
      <c r="B1283" s="149" t="s">
        <v>1311</v>
      </c>
      <c r="C1283" s="149">
        <v>3282</v>
      </c>
      <c r="D1283" s="149" t="s">
        <v>3538</v>
      </c>
      <c r="E1283" s="149" t="s">
        <v>3539</v>
      </c>
      <c r="F1283" s="149" t="s">
        <v>280</v>
      </c>
      <c r="G1283" s="149" t="s">
        <v>143</v>
      </c>
      <c r="H1283" s="151" t="str">
        <f t="shared" ref="H1283:H1346" si="104">"19"&amp;K1283&amp;"/"&amp;L1283&amp;"/"&amp;M1283</f>
        <v>1996/05/16</v>
      </c>
      <c r="I1283" s="149" t="s">
        <v>269</v>
      </c>
      <c r="J1283" s="149" t="s">
        <v>700</v>
      </c>
      <c r="K1283" s="101" t="str">
        <f t="shared" si="100"/>
        <v>96</v>
      </c>
      <c r="L1283" s="101" t="str">
        <f t="shared" si="101"/>
        <v>05</v>
      </c>
      <c r="M1283" s="101" t="str">
        <f t="shared" si="102"/>
        <v>16</v>
      </c>
    </row>
    <row r="1284" spans="1:13">
      <c r="A1284" t="str">
        <f t="shared" si="103"/>
        <v>山口大学3283男</v>
      </c>
      <c r="B1284" s="149" t="s">
        <v>1311</v>
      </c>
      <c r="C1284" s="149">
        <v>3283</v>
      </c>
      <c r="D1284" s="149" t="s">
        <v>3540</v>
      </c>
      <c r="E1284" s="149" t="s">
        <v>3541</v>
      </c>
      <c r="F1284" s="149" t="s">
        <v>280</v>
      </c>
      <c r="G1284" s="149" t="s">
        <v>143</v>
      </c>
      <c r="H1284" s="151" t="str">
        <f t="shared" si="104"/>
        <v>1996/08/28</v>
      </c>
      <c r="I1284" s="149" t="s">
        <v>269</v>
      </c>
      <c r="J1284" s="149" t="s">
        <v>821</v>
      </c>
      <c r="K1284" s="101" t="str">
        <f t="shared" si="100"/>
        <v>96</v>
      </c>
      <c r="L1284" s="101" t="str">
        <f t="shared" si="101"/>
        <v>08</v>
      </c>
      <c r="M1284" s="101" t="str">
        <f t="shared" si="102"/>
        <v>28</v>
      </c>
    </row>
    <row r="1285" spans="1:13">
      <c r="A1285" t="str">
        <f t="shared" si="103"/>
        <v>山口大学3284男</v>
      </c>
      <c r="B1285" s="149" t="s">
        <v>1311</v>
      </c>
      <c r="C1285" s="149">
        <v>3284</v>
      </c>
      <c r="D1285" s="149" t="s">
        <v>3542</v>
      </c>
      <c r="E1285" s="149" t="s">
        <v>3543</v>
      </c>
      <c r="F1285" s="149" t="s">
        <v>280</v>
      </c>
      <c r="G1285" s="149" t="s">
        <v>143</v>
      </c>
      <c r="H1285" s="151" t="str">
        <f t="shared" si="104"/>
        <v>1995/05/05</v>
      </c>
      <c r="I1285" s="149" t="s">
        <v>269</v>
      </c>
      <c r="J1285" s="149" t="s">
        <v>3657</v>
      </c>
      <c r="K1285" s="101" t="str">
        <f t="shared" si="100"/>
        <v>95</v>
      </c>
      <c r="L1285" s="101" t="str">
        <f t="shared" si="101"/>
        <v>05</v>
      </c>
      <c r="M1285" s="101" t="str">
        <f t="shared" si="102"/>
        <v>05</v>
      </c>
    </row>
    <row r="1286" spans="1:13">
      <c r="A1286" t="str">
        <f t="shared" si="103"/>
        <v>山口大学3285男</v>
      </c>
      <c r="B1286" s="149" t="s">
        <v>1311</v>
      </c>
      <c r="C1286" s="149">
        <v>3285</v>
      </c>
      <c r="D1286" s="149" t="s">
        <v>3544</v>
      </c>
      <c r="E1286" s="149" t="s">
        <v>3545</v>
      </c>
      <c r="F1286" s="149" t="s">
        <v>280</v>
      </c>
      <c r="G1286" s="149" t="s">
        <v>143</v>
      </c>
      <c r="H1286" s="151" t="str">
        <f t="shared" si="104"/>
        <v>1997/02/04</v>
      </c>
      <c r="I1286" s="149" t="s">
        <v>269</v>
      </c>
      <c r="J1286" s="149" t="s">
        <v>3880</v>
      </c>
      <c r="K1286" s="101" t="str">
        <f t="shared" si="100"/>
        <v>97</v>
      </c>
      <c r="L1286" s="101" t="str">
        <f t="shared" si="101"/>
        <v>02</v>
      </c>
      <c r="M1286" s="101" t="str">
        <f t="shared" si="102"/>
        <v>04</v>
      </c>
    </row>
    <row r="1287" spans="1:13">
      <c r="A1287" t="str">
        <f t="shared" si="103"/>
        <v>山口大学3286男</v>
      </c>
      <c r="B1287" s="149" t="s">
        <v>1311</v>
      </c>
      <c r="C1287" s="149">
        <v>3286</v>
      </c>
      <c r="D1287" s="149" t="s">
        <v>3546</v>
      </c>
      <c r="E1287" s="149" t="s">
        <v>3547</v>
      </c>
      <c r="F1287" s="149" t="s">
        <v>280</v>
      </c>
      <c r="G1287" s="149" t="s">
        <v>143</v>
      </c>
      <c r="H1287" s="151" t="str">
        <f t="shared" si="104"/>
        <v>1996/11/05</v>
      </c>
      <c r="I1287" s="149" t="s">
        <v>269</v>
      </c>
      <c r="J1287" s="149" t="s">
        <v>3999</v>
      </c>
      <c r="K1287" s="101" t="str">
        <f t="shared" si="100"/>
        <v>96</v>
      </c>
      <c r="L1287" s="101" t="str">
        <f t="shared" si="101"/>
        <v>11</v>
      </c>
      <c r="M1287" s="101" t="str">
        <f t="shared" si="102"/>
        <v>05</v>
      </c>
    </row>
    <row r="1288" spans="1:13">
      <c r="A1288" t="str">
        <f t="shared" si="103"/>
        <v>山口大学3287男</v>
      </c>
      <c r="B1288" s="149" t="s">
        <v>1311</v>
      </c>
      <c r="C1288" s="149">
        <v>3287</v>
      </c>
      <c r="D1288" s="149" t="s">
        <v>3548</v>
      </c>
      <c r="E1288" s="149" t="s">
        <v>3549</v>
      </c>
      <c r="F1288" s="149" t="s">
        <v>280</v>
      </c>
      <c r="G1288" s="149" t="s">
        <v>143</v>
      </c>
      <c r="H1288" s="151" t="str">
        <f t="shared" si="104"/>
        <v>1996/05/26</v>
      </c>
      <c r="I1288" s="149" t="s">
        <v>269</v>
      </c>
      <c r="J1288" s="149" t="s">
        <v>716</v>
      </c>
      <c r="K1288" s="101" t="str">
        <f t="shared" si="100"/>
        <v>96</v>
      </c>
      <c r="L1288" s="101" t="str">
        <f t="shared" si="101"/>
        <v>05</v>
      </c>
      <c r="M1288" s="101" t="str">
        <f t="shared" si="102"/>
        <v>26</v>
      </c>
    </row>
    <row r="1289" spans="1:13">
      <c r="A1289" t="str">
        <f t="shared" si="103"/>
        <v>山口大学3288男</v>
      </c>
      <c r="B1289" s="149" t="s">
        <v>1311</v>
      </c>
      <c r="C1289" s="149">
        <v>3288</v>
      </c>
      <c r="D1289" s="149" t="s">
        <v>3550</v>
      </c>
      <c r="E1289" s="149" t="s">
        <v>3551</v>
      </c>
      <c r="F1289" s="149" t="s">
        <v>280</v>
      </c>
      <c r="G1289" s="149" t="s">
        <v>143</v>
      </c>
      <c r="H1289" s="151" t="str">
        <f t="shared" si="104"/>
        <v>1996/11/10</v>
      </c>
      <c r="I1289" s="149" t="s">
        <v>269</v>
      </c>
      <c r="J1289" s="149" t="s">
        <v>706</v>
      </c>
      <c r="K1289" s="101" t="str">
        <f t="shared" si="100"/>
        <v>96</v>
      </c>
      <c r="L1289" s="101" t="str">
        <f t="shared" si="101"/>
        <v>11</v>
      </c>
      <c r="M1289" s="101" t="str">
        <f t="shared" si="102"/>
        <v>10</v>
      </c>
    </row>
    <row r="1290" spans="1:13">
      <c r="A1290" t="str">
        <f t="shared" si="103"/>
        <v>山口大学3289男</v>
      </c>
      <c r="B1290" s="149" t="s">
        <v>1311</v>
      </c>
      <c r="C1290" s="149">
        <v>3289</v>
      </c>
      <c r="D1290" s="149" t="s">
        <v>3552</v>
      </c>
      <c r="E1290" s="149" t="s">
        <v>3553</v>
      </c>
      <c r="F1290" s="149" t="s">
        <v>280</v>
      </c>
      <c r="G1290" s="149" t="s">
        <v>143</v>
      </c>
      <c r="H1290" s="151" t="str">
        <f t="shared" si="104"/>
        <v>1996/04/13</v>
      </c>
      <c r="I1290" s="149" t="s">
        <v>269</v>
      </c>
      <c r="J1290" s="149" t="s">
        <v>735</v>
      </c>
      <c r="K1290" s="101" t="str">
        <f t="shared" si="100"/>
        <v>96</v>
      </c>
      <c r="L1290" s="101" t="str">
        <f t="shared" si="101"/>
        <v>04</v>
      </c>
      <c r="M1290" s="101" t="str">
        <f t="shared" si="102"/>
        <v>13</v>
      </c>
    </row>
    <row r="1291" spans="1:13">
      <c r="A1291" t="str">
        <f t="shared" si="103"/>
        <v>山口大学3290男</v>
      </c>
      <c r="B1291" s="149" t="s">
        <v>1311</v>
      </c>
      <c r="C1291" s="149">
        <v>3290</v>
      </c>
      <c r="D1291" s="149" t="s">
        <v>3554</v>
      </c>
      <c r="E1291" s="149" t="s">
        <v>3555</v>
      </c>
      <c r="F1291" s="149" t="s">
        <v>280</v>
      </c>
      <c r="G1291" s="149" t="s">
        <v>143</v>
      </c>
      <c r="H1291" s="151" t="str">
        <f t="shared" si="104"/>
        <v>1996/08/19</v>
      </c>
      <c r="I1291" s="149" t="s">
        <v>269</v>
      </c>
      <c r="J1291" s="149" t="s">
        <v>725</v>
      </c>
      <c r="K1291" s="101" t="str">
        <f t="shared" si="100"/>
        <v>96</v>
      </c>
      <c r="L1291" s="101" t="str">
        <f t="shared" si="101"/>
        <v>08</v>
      </c>
      <c r="M1291" s="101" t="str">
        <f t="shared" si="102"/>
        <v>19</v>
      </c>
    </row>
    <row r="1292" spans="1:13">
      <c r="A1292" t="str">
        <f t="shared" si="103"/>
        <v>山口大学3291男</v>
      </c>
      <c r="B1292" s="149" t="s">
        <v>1311</v>
      </c>
      <c r="C1292" s="149">
        <v>3291</v>
      </c>
      <c r="D1292" s="149" t="s">
        <v>3556</v>
      </c>
      <c r="E1292" s="149" t="s">
        <v>3557</v>
      </c>
      <c r="F1292" s="149" t="s">
        <v>280</v>
      </c>
      <c r="G1292" s="149" t="s">
        <v>143</v>
      </c>
      <c r="H1292" s="151" t="str">
        <f t="shared" si="104"/>
        <v>1996/10/14</v>
      </c>
      <c r="I1292" s="149" t="s">
        <v>269</v>
      </c>
      <c r="J1292" s="149" t="s">
        <v>753</v>
      </c>
      <c r="K1292" s="101" t="str">
        <f t="shared" si="100"/>
        <v>96</v>
      </c>
      <c r="L1292" s="101" t="str">
        <f t="shared" si="101"/>
        <v>10</v>
      </c>
      <c r="M1292" s="101" t="str">
        <f t="shared" si="102"/>
        <v>14</v>
      </c>
    </row>
    <row r="1293" spans="1:13">
      <c r="A1293" t="str">
        <f t="shared" si="103"/>
        <v>山口大学3292男</v>
      </c>
      <c r="B1293" s="149" t="s">
        <v>1311</v>
      </c>
      <c r="C1293" s="149">
        <v>3292</v>
      </c>
      <c r="D1293" s="149" t="s">
        <v>3558</v>
      </c>
      <c r="E1293" s="149" t="s">
        <v>3559</v>
      </c>
      <c r="F1293" s="149" t="s">
        <v>280</v>
      </c>
      <c r="G1293" s="149" t="s">
        <v>143</v>
      </c>
      <c r="H1293" s="151" t="str">
        <f t="shared" si="104"/>
        <v>1996/04/21</v>
      </c>
      <c r="I1293" s="149" t="s">
        <v>269</v>
      </c>
      <c r="J1293" s="149" t="s">
        <v>729</v>
      </c>
      <c r="K1293" s="101" t="str">
        <f t="shared" si="100"/>
        <v>96</v>
      </c>
      <c r="L1293" s="101" t="str">
        <f t="shared" si="101"/>
        <v>04</v>
      </c>
      <c r="M1293" s="101" t="str">
        <f t="shared" si="102"/>
        <v>21</v>
      </c>
    </row>
    <row r="1294" spans="1:13">
      <c r="A1294" t="str">
        <f t="shared" si="103"/>
        <v>山口大学3293男</v>
      </c>
      <c r="B1294" s="149" t="s">
        <v>1311</v>
      </c>
      <c r="C1294" s="149">
        <v>3293</v>
      </c>
      <c r="D1294" s="149" t="s">
        <v>3560</v>
      </c>
      <c r="E1294" s="149" t="s">
        <v>3561</v>
      </c>
      <c r="F1294" s="149" t="s">
        <v>280</v>
      </c>
      <c r="G1294" s="149" t="s">
        <v>143</v>
      </c>
      <c r="H1294" s="151" t="str">
        <f t="shared" si="104"/>
        <v>1996/12/17</v>
      </c>
      <c r="I1294" s="149" t="s">
        <v>295</v>
      </c>
      <c r="J1294" s="149" t="s">
        <v>825</v>
      </c>
      <c r="K1294" s="101" t="str">
        <f t="shared" si="100"/>
        <v>96</v>
      </c>
      <c r="L1294" s="101" t="str">
        <f t="shared" si="101"/>
        <v>12</v>
      </c>
      <c r="M1294" s="101" t="str">
        <f t="shared" si="102"/>
        <v>17</v>
      </c>
    </row>
    <row r="1295" spans="1:13">
      <c r="A1295" t="str">
        <f t="shared" si="103"/>
        <v>山口大学3294男</v>
      </c>
      <c r="B1295" s="149" t="s">
        <v>1311</v>
      </c>
      <c r="C1295" s="149">
        <v>3294</v>
      </c>
      <c r="D1295" s="149" t="s">
        <v>3562</v>
      </c>
      <c r="E1295" s="149" t="s">
        <v>0</v>
      </c>
      <c r="F1295" s="149" t="s">
        <v>280</v>
      </c>
      <c r="G1295" s="149" t="s">
        <v>143</v>
      </c>
      <c r="H1295" s="151" t="str">
        <f t="shared" si="104"/>
        <v>1996/06/05</v>
      </c>
      <c r="I1295" s="149" t="s">
        <v>269</v>
      </c>
      <c r="J1295" s="149" t="s">
        <v>4000</v>
      </c>
      <c r="K1295" s="101" t="str">
        <f t="shared" si="100"/>
        <v>96</v>
      </c>
      <c r="L1295" s="101" t="str">
        <f t="shared" si="101"/>
        <v>06</v>
      </c>
      <c r="M1295" s="101" t="str">
        <f t="shared" si="102"/>
        <v>05</v>
      </c>
    </row>
    <row r="1296" spans="1:13">
      <c r="A1296" t="str">
        <f t="shared" si="103"/>
        <v>山口大学3295男</v>
      </c>
      <c r="B1296" s="149" t="s">
        <v>1311</v>
      </c>
      <c r="C1296" s="149">
        <v>3295</v>
      </c>
      <c r="D1296" s="149" t="s">
        <v>3563</v>
      </c>
      <c r="E1296" s="149" t="s">
        <v>3564</v>
      </c>
      <c r="F1296" s="149" t="s">
        <v>280</v>
      </c>
      <c r="G1296" s="149" t="s">
        <v>143</v>
      </c>
      <c r="H1296" s="151" t="str">
        <f t="shared" si="104"/>
        <v>1995/08/18</v>
      </c>
      <c r="I1296" s="149" t="s">
        <v>269</v>
      </c>
      <c r="J1296" s="149" t="s">
        <v>490</v>
      </c>
      <c r="K1296" s="101" t="str">
        <f t="shared" si="100"/>
        <v>95</v>
      </c>
      <c r="L1296" s="101" t="str">
        <f t="shared" si="101"/>
        <v>08</v>
      </c>
      <c r="M1296" s="101" t="str">
        <f t="shared" si="102"/>
        <v>18</v>
      </c>
    </row>
    <row r="1297" spans="1:13">
      <c r="A1297" t="str">
        <f t="shared" si="103"/>
        <v>県立広島大学3296男</v>
      </c>
      <c r="B1297" s="149" t="s">
        <v>3565</v>
      </c>
      <c r="C1297" s="149">
        <v>3296</v>
      </c>
      <c r="D1297" s="149" t="s">
        <v>1701</v>
      </c>
      <c r="E1297" s="149" t="s">
        <v>1702</v>
      </c>
      <c r="F1297" s="149" t="s">
        <v>265</v>
      </c>
      <c r="G1297" s="149" t="s">
        <v>143</v>
      </c>
      <c r="H1297" s="151" t="str">
        <f t="shared" si="104"/>
        <v>1994/12/17</v>
      </c>
      <c r="I1297" s="149" t="s">
        <v>295</v>
      </c>
      <c r="J1297" s="149" t="s">
        <v>861</v>
      </c>
      <c r="K1297" s="101" t="str">
        <f t="shared" si="100"/>
        <v>94</v>
      </c>
      <c r="L1297" s="101" t="str">
        <f t="shared" si="101"/>
        <v>12</v>
      </c>
      <c r="M1297" s="101" t="str">
        <f t="shared" si="102"/>
        <v>17</v>
      </c>
    </row>
    <row r="1298" spans="1:13">
      <c r="A1298" t="str">
        <f t="shared" si="103"/>
        <v>県立広島大学3297男</v>
      </c>
      <c r="B1298" s="149" t="s">
        <v>3565</v>
      </c>
      <c r="C1298" s="149">
        <v>3297</v>
      </c>
      <c r="D1298" s="149" t="s">
        <v>3566</v>
      </c>
      <c r="E1298" s="149" t="s">
        <v>3567</v>
      </c>
      <c r="F1298" s="149" t="s">
        <v>267</v>
      </c>
      <c r="G1298" s="149" t="s">
        <v>143</v>
      </c>
      <c r="H1298" s="151" t="str">
        <f t="shared" si="104"/>
        <v>1996/02/03</v>
      </c>
      <c r="I1298" s="149" t="s">
        <v>295</v>
      </c>
      <c r="J1298" s="149" t="s">
        <v>925</v>
      </c>
      <c r="K1298" s="101" t="str">
        <f t="shared" si="100"/>
        <v>96</v>
      </c>
      <c r="L1298" s="101" t="str">
        <f t="shared" si="101"/>
        <v>02</v>
      </c>
      <c r="M1298" s="101" t="str">
        <f t="shared" si="102"/>
        <v>03</v>
      </c>
    </row>
    <row r="1299" spans="1:13">
      <c r="A1299" t="str">
        <f t="shared" si="103"/>
        <v>県立広島大学3298男</v>
      </c>
      <c r="B1299" s="149" t="s">
        <v>3565</v>
      </c>
      <c r="C1299" s="149">
        <v>3298</v>
      </c>
      <c r="D1299" s="149" t="s">
        <v>3568</v>
      </c>
      <c r="E1299" s="149" t="s">
        <v>3569</v>
      </c>
      <c r="F1299" s="149" t="s">
        <v>260</v>
      </c>
      <c r="G1299" s="149" t="s">
        <v>143</v>
      </c>
      <c r="H1299" s="151" t="str">
        <f t="shared" si="104"/>
        <v>1994/01/18</v>
      </c>
      <c r="I1299" s="149" t="s">
        <v>295</v>
      </c>
      <c r="J1299" s="149" t="s">
        <v>574</v>
      </c>
      <c r="K1299" s="101" t="str">
        <f t="shared" si="100"/>
        <v>94</v>
      </c>
      <c r="L1299" s="101" t="str">
        <f t="shared" si="101"/>
        <v>01</v>
      </c>
      <c r="M1299" s="101" t="str">
        <f t="shared" si="102"/>
        <v>18</v>
      </c>
    </row>
    <row r="1300" spans="1:13">
      <c r="A1300" t="str">
        <f t="shared" si="103"/>
        <v>県立広島大学3299男</v>
      </c>
      <c r="B1300" s="149" t="s">
        <v>3565</v>
      </c>
      <c r="C1300" s="149">
        <v>3299</v>
      </c>
      <c r="D1300" s="149" t="s">
        <v>3570</v>
      </c>
      <c r="E1300" s="149" t="s">
        <v>2211</v>
      </c>
      <c r="F1300" s="149" t="s">
        <v>280</v>
      </c>
      <c r="G1300" s="149" t="s">
        <v>143</v>
      </c>
      <c r="H1300" s="151" t="str">
        <f t="shared" si="104"/>
        <v>1997/01/24</v>
      </c>
      <c r="I1300" s="149" t="s">
        <v>295</v>
      </c>
      <c r="J1300" s="149" t="s">
        <v>715</v>
      </c>
      <c r="K1300" s="101" t="str">
        <f t="shared" si="100"/>
        <v>97</v>
      </c>
      <c r="L1300" s="101" t="str">
        <f t="shared" si="101"/>
        <v>01</v>
      </c>
      <c r="M1300" s="101" t="str">
        <f t="shared" si="102"/>
        <v>24</v>
      </c>
    </row>
    <row r="1301" spans="1:13">
      <c r="A1301" t="str">
        <f t="shared" si="103"/>
        <v>県立広島大学3300男</v>
      </c>
      <c r="B1301" s="149" t="s">
        <v>3565</v>
      </c>
      <c r="C1301" s="149">
        <v>3300</v>
      </c>
      <c r="D1301" s="149" t="s">
        <v>3571</v>
      </c>
      <c r="E1301" s="149" t="s">
        <v>3572</v>
      </c>
      <c r="F1301" s="149" t="s">
        <v>260</v>
      </c>
      <c r="G1301" s="149" t="s">
        <v>143</v>
      </c>
      <c r="H1301" s="151" t="str">
        <f t="shared" si="104"/>
        <v>1993/12/07</v>
      </c>
      <c r="I1301" s="149" t="s">
        <v>295</v>
      </c>
      <c r="J1301" s="149" t="s">
        <v>3876</v>
      </c>
      <c r="K1301" s="101" t="str">
        <f t="shared" si="100"/>
        <v>93</v>
      </c>
      <c r="L1301" s="101" t="str">
        <f t="shared" si="101"/>
        <v>12</v>
      </c>
      <c r="M1301" s="101" t="str">
        <f t="shared" si="102"/>
        <v>07</v>
      </c>
    </row>
    <row r="1302" spans="1:13">
      <c r="A1302" t="str">
        <f t="shared" si="103"/>
        <v>県立広島大学3301男</v>
      </c>
      <c r="B1302" s="149" t="s">
        <v>3565</v>
      </c>
      <c r="C1302" s="149">
        <v>3301</v>
      </c>
      <c r="D1302" s="149" t="s">
        <v>3573</v>
      </c>
      <c r="E1302" s="149" t="s">
        <v>3574</v>
      </c>
      <c r="F1302" s="149" t="s">
        <v>280</v>
      </c>
      <c r="G1302" s="149" t="s">
        <v>143</v>
      </c>
      <c r="H1302" s="151" t="str">
        <f t="shared" si="104"/>
        <v>1996/04/24</v>
      </c>
      <c r="I1302" s="149" t="s">
        <v>295</v>
      </c>
      <c r="J1302" s="149" t="s">
        <v>815</v>
      </c>
      <c r="K1302" s="101" t="str">
        <f t="shared" si="100"/>
        <v>96</v>
      </c>
      <c r="L1302" s="101" t="str">
        <f t="shared" si="101"/>
        <v>04</v>
      </c>
      <c r="M1302" s="101" t="str">
        <f t="shared" si="102"/>
        <v>24</v>
      </c>
    </row>
    <row r="1303" spans="1:13">
      <c r="A1303" t="str">
        <f t="shared" si="103"/>
        <v>県立広島大学3302男</v>
      </c>
      <c r="B1303" s="149" t="s">
        <v>3565</v>
      </c>
      <c r="C1303" s="149">
        <v>3302</v>
      </c>
      <c r="D1303" s="149" t="s">
        <v>3575</v>
      </c>
      <c r="E1303" s="149" t="s">
        <v>3576</v>
      </c>
      <c r="F1303" s="149" t="s">
        <v>280</v>
      </c>
      <c r="G1303" s="149" t="s">
        <v>143</v>
      </c>
      <c r="H1303" s="151" t="str">
        <f t="shared" si="104"/>
        <v>1996/01/26</v>
      </c>
      <c r="I1303" s="149" t="s">
        <v>295</v>
      </c>
      <c r="J1303" s="149" t="s">
        <v>429</v>
      </c>
      <c r="K1303" s="101" t="str">
        <f t="shared" si="100"/>
        <v>96</v>
      </c>
      <c r="L1303" s="101" t="str">
        <f t="shared" si="101"/>
        <v>01</v>
      </c>
      <c r="M1303" s="101" t="str">
        <f t="shared" si="102"/>
        <v>26</v>
      </c>
    </row>
    <row r="1304" spans="1:13">
      <c r="A1304" t="str">
        <f t="shared" si="103"/>
        <v>広島大学3303男</v>
      </c>
      <c r="B1304" s="149" t="s">
        <v>1364</v>
      </c>
      <c r="C1304" s="149">
        <v>3303</v>
      </c>
      <c r="D1304" s="149" t="s">
        <v>3577</v>
      </c>
      <c r="E1304" s="149" t="s">
        <v>3578</v>
      </c>
      <c r="F1304" s="149" t="s">
        <v>280</v>
      </c>
      <c r="G1304" s="149" t="s">
        <v>143</v>
      </c>
      <c r="H1304" s="151" t="str">
        <f t="shared" si="104"/>
        <v>1996/04/26</v>
      </c>
      <c r="I1304" s="149" t="s">
        <v>295</v>
      </c>
      <c r="J1304" s="149" t="s">
        <v>3966</v>
      </c>
      <c r="K1304" s="101" t="str">
        <f t="shared" si="100"/>
        <v>96</v>
      </c>
      <c r="L1304" s="101" t="str">
        <f t="shared" si="101"/>
        <v>04</v>
      </c>
      <c r="M1304" s="101" t="str">
        <f t="shared" si="102"/>
        <v>26</v>
      </c>
    </row>
    <row r="1305" spans="1:13">
      <c r="A1305" t="str">
        <f t="shared" si="103"/>
        <v>広島大学3304男</v>
      </c>
      <c r="B1305" s="149" t="s">
        <v>1364</v>
      </c>
      <c r="C1305" s="149">
        <v>3304</v>
      </c>
      <c r="D1305" s="149" t="s">
        <v>3579</v>
      </c>
      <c r="E1305" s="149" t="s">
        <v>3580</v>
      </c>
      <c r="F1305" s="149" t="s">
        <v>280</v>
      </c>
      <c r="G1305" s="149" t="s">
        <v>143</v>
      </c>
      <c r="H1305" s="151" t="str">
        <f t="shared" si="104"/>
        <v>1995/09/01</v>
      </c>
      <c r="I1305" s="149" t="s">
        <v>295</v>
      </c>
      <c r="J1305" s="149" t="s">
        <v>3680</v>
      </c>
      <c r="K1305" s="101" t="str">
        <f t="shared" si="100"/>
        <v>95</v>
      </c>
      <c r="L1305" s="101" t="str">
        <f t="shared" si="101"/>
        <v>09</v>
      </c>
      <c r="M1305" s="101" t="str">
        <f t="shared" si="102"/>
        <v>01</v>
      </c>
    </row>
    <row r="1306" spans="1:13">
      <c r="A1306" t="str">
        <f t="shared" si="103"/>
        <v>広島大学3305男</v>
      </c>
      <c r="B1306" s="149" t="s">
        <v>1364</v>
      </c>
      <c r="C1306" s="149">
        <v>3305</v>
      </c>
      <c r="D1306" s="149" t="s">
        <v>3581</v>
      </c>
      <c r="E1306" s="149" t="s">
        <v>3582</v>
      </c>
      <c r="F1306" s="149" t="s">
        <v>280</v>
      </c>
      <c r="G1306" s="149" t="s">
        <v>143</v>
      </c>
      <c r="H1306" s="151" t="str">
        <f t="shared" si="104"/>
        <v>1996/08/24</v>
      </c>
      <c r="I1306" s="149" t="s">
        <v>295</v>
      </c>
      <c r="J1306" s="149" t="s">
        <v>3811</v>
      </c>
      <c r="K1306" s="101" t="str">
        <f t="shared" si="100"/>
        <v>96</v>
      </c>
      <c r="L1306" s="101" t="str">
        <f t="shared" si="101"/>
        <v>08</v>
      </c>
      <c r="M1306" s="101" t="str">
        <f t="shared" si="102"/>
        <v>24</v>
      </c>
    </row>
    <row r="1307" spans="1:13">
      <c r="A1307" t="str">
        <f t="shared" si="103"/>
        <v>広島大学3306男</v>
      </c>
      <c r="B1307" s="149" t="s">
        <v>1364</v>
      </c>
      <c r="C1307" s="149">
        <v>3306</v>
      </c>
      <c r="D1307" s="149" t="s">
        <v>3583</v>
      </c>
      <c r="E1307" s="149" t="s">
        <v>3584</v>
      </c>
      <c r="F1307" s="149" t="s">
        <v>280</v>
      </c>
      <c r="G1307" s="149" t="s">
        <v>143</v>
      </c>
      <c r="H1307" s="151" t="str">
        <f t="shared" si="104"/>
        <v>1996/02/01</v>
      </c>
      <c r="I1307" s="149" t="s">
        <v>282</v>
      </c>
      <c r="J1307" s="149" t="s">
        <v>4001</v>
      </c>
      <c r="K1307" s="101" t="str">
        <f t="shared" si="100"/>
        <v>96</v>
      </c>
      <c r="L1307" s="101" t="str">
        <f t="shared" si="101"/>
        <v>02</v>
      </c>
      <c r="M1307" s="101" t="str">
        <f t="shared" si="102"/>
        <v>01</v>
      </c>
    </row>
    <row r="1308" spans="1:13">
      <c r="A1308" t="str">
        <f t="shared" si="103"/>
        <v>広島大学3307男</v>
      </c>
      <c r="B1308" s="149" t="s">
        <v>1364</v>
      </c>
      <c r="C1308" s="149">
        <v>3307</v>
      </c>
      <c r="D1308" s="149" t="s">
        <v>3585</v>
      </c>
      <c r="E1308" s="149" t="s">
        <v>3586</v>
      </c>
      <c r="F1308" s="149" t="s">
        <v>280</v>
      </c>
      <c r="G1308" s="149" t="s">
        <v>143</v>
      </c>
      <c r="H1308" s="151" t="str">
        <f t="shared" si="104"/>
        <v>1996/08/20</v>
      </c>
      <c r="I1308" s="149" t="s">
        <v>295</v>
      </c>
      <c r="J1308" s="149" t="s">
        <v>800</v>
      </c>
      <c r="K1308" s="101" t="str">
        <f t="shared" si="100"/>
        <v>96</v>
      </c>
      <c r="L1308" s="101" t="str">
        <f t="shared" si="101"/>
        <v>08</v>
      </c>
      <c r="M1308" s="101" t="str">
        <f t="shared" si="102"/>
        <v>20</v>
      </c>
    </row>
    <row r="1309" spans="1:13">
      <c r="A1309" t="str">
        <f t="shared" si="103"/>
        <v>広島大学3308男</v>
      </c>
      <c r="B1309" s="149" t="s">
        <v>1364</v>
      </c>
      <c r="C1309" s="149">
        <v>3308</v>
      </c>
      <c r="D1309" s="149" t="s">
        <v>306</v>
      </c>
      <c r="E1309" s="149" t="s">
        <v>307</v>
      </c>
      <c r="F1309" s="149" t="s">
        <v>280</v>
      </c>
      <c r="G1309" s="149" t="s">
        <v>143</v>
      </c>
      <c r="H1309" s="151" t="str">
        <f t="shared" si="104"/>
        <v>1996/04/23</v>
      </c>
      <c r="I1309" s="149" t="s">
        <v>295</v>
      </c>
      <c r="J1309" s="149" t="s">
        <v>3926</v>
      </c>
      <c r="K1309" s="101" t="str">
        <f t="shared" si="100"/>
        <v>96</v>
      </c>
      <c r="L1309" s="101" t="str">
        <f t="shared" si="101"/>
        <v>04</v>
      </c>
      <c r="M1309" s="101" t="str">
        <f t="shared" si="102"/>
        <v>23</v>
      </c>
    </row>
    <row r="1310" spans="1:13">
      <c r="A1310" t="str">
        <f t="shared" si="103"/>
        <v>広島大学3309男</v>
      </c>
      <c r="B1310" s="149" t="s">
        <v>1364</v>
      </c>
      <c r="C1310" s="149">
        <v>3309</v>
      </c>
      <c r="D1310" s="149" t="s">
        <v>3587</v>
      </c>
      <c r="E1310" s="149" t="s">
        <v>3588</v>
      </c>
      <c r="F1310" s="149" t="s">
        <v>280</v>
      </c>
      <c r="G1310" s="149" t="s">
        <v>143</v>
      </c>
      <c r="H1310" s="151" t="str">
        <f t="shared" si="104"/>
        <v>1996/08/14</v>
      </c>
      <c r="I1310" s="149" t="s">
        <v>299</v>
      </c>
      <c r="J1310" s="149" t="s">
        <v>709</v>
      </c>
      <c r="K1310" s="101" t="str">
        <f t="shared" si="100"/>
        <v>96</v>
      </c>
      <c r="L1310" s="101" t="str">
        <f t="shared" si="101"/>
        <v>08</v>
      </c>
      <c r="M1310" s="101" t="str">
        <f t="shared" si="102"/>
        <v>14</v>
      </c>
    </row>
    <row r="1311" spans="1:13">
      <c r="A1311" t="str">
        <f t="shared" si="103"/>
        <v>広島大学3310男</v>
      </c>
      <c r="B1311" s="149" t="s">
        <v>1364</v>
      </c>
      <c r="C1311" s="149">
        <v>3310</v>
      </c>
      <c r="D1311" s="149" t="s">
        <v>3589</v>
      </c>
      <c r="E1311" s="149" t="s">
        <v>3590</v>
      </c>
      <c r="F1311" s="149" t="s">
        <v>280</v>
      </c>
      <c r="G1311" s="149" t="s">
        <v>143</v>
      </c>
      <c r="H1311" s="151" t="str">
        <f t="shared" si="104"/>
        <v>1996/12/16</v>
      </c>
      <c r="I1311" s="149" t="s">
        <v>295</v>
      </c>
      <c r="J1311" s="149" t="s">
        <v>763</v>
      </c>
      <c r="K1311" s="101" t="str">
        <f t="shared" si="100"/>
        <v>96</v>
      </c>
      <c r="L1311" s="101" t="str">
        <f t="shared" si="101"/>
        <v>12</v>
      </c>
      <c r="M1311" s="101" t="str">
        <f t="shared" si="102"/>
        <v>16</v>
      </c>
    </row>
    <row r="1312" spans="1:13">
      <c r="A1312" t="str">
        <f t="shared" si="103"/>
        <v>広島大学3311男</v>
      </c>
      <c r="B1312" s="149" t="s">
        <v>1364</v>
      </c>
      <c r="C1312" s="149">
        <v>3311</v>
      </c>
      <c r="D1312" s="149" t="s">
        <v>3591</v>
      </c>
      <c r="E1312" s="149" t="s">
        <v>3592</v>
      </c>
      <c r="F1312" s="149" t="s">
        <v>280</v>
      </c>
      <c r="G1312" s="149" t="s">
        <v>143</v>
      </c>
      <c r="H1312" s="151" t="str">
        <f t="shared" si="104"/>
        <v>1995/06/05</v>
      </c>
      <c r="I1312" s="149" t="s">
        <v>295</v>
      </c>
      <c r="J1312" s="149" t="s">
        <v>845</v>
      </c>
      <c r="K1312" s="101" t="str">
        <f t="shared" si="100"/>
        <v>95</v>
      </c>
      <c r="L1312" s="101" t="str">
        <f t="shared" si="101"/>
        <v>06</v>
      </c>
      <c r="M1312" s="101" t="str">
        <f t="shared" si="102"/>
        <v>05</v>
      </c>
    </row>
    <row r="1313" spans="1:13">
      <c r="A1313" t="str">
        <f t="shared" si="103"/>
        <v>広島大学3312男</v>
      </c>
      <c r="B1313" s="149" t="s">
        <v>1364</v>
      </c>
      <c r="C1313" s="149">
        <v>3312</v>
      </c>
      <c r="D1313" s="149" t="s">
        <v>3593</v>
      </c>
      <c r="E1313" s="149" t="s">
        <v>3594</v>
      </c>
      <c r="F1313" s="149" t="s">
        <v>280</v>
      </c>
      <c r="G1313" s="149" t="s">
        <v>143</v>
      </c>
      <c r="H1313" s="151" t="str">
        <f t="shared" si="104"/>
        <v>1996/07/30</v>
      </c>
      <c r="I1313" s="149" t="s">
        <v>295</v>
      </c>
      <c r="J1313" s="149" t="s">
        <v>3945</v>
      </c>
      <c r="K1313" s="101" t="str">
        <f t="shared" si="100"/>
        <v>96</v>
      </c>
      <c r="L1313" s="101" t="str">
        <f t="shared" si="101"/>
        <v>07</v>
      </c>
      <c r="M1313" s="101" t="str">
        <f t="shared" si="102"/>
        <v>30</v>
      </c>
    </row>
    <row r="1314" spans="1:13">
      <c r="A1314" t="str">
        <f t="shared" si="103"/>
        <v>広島大学3313男</v>
      </c>
      <c r="B1314" s="149" t="s">
        <v>1364</v>
      </c>
      <c r="C1314" s="149">
        <v>3313</v>
      </c>
      <c r="D1314" s="149" t="s">
        <v>3595</v>
      </c>
      <c r="E1314" s="149" t="s">
        <v>1416</v>
      </c>
      <c r="F1314" s="149" t="s">
        <v>280</v>
      </c>
      <c r="G1314" s="149" t="s">
        <v>143</v>
      </c>
      <c r="H1314" s="151" t="str">
        <f t="shared" si="104"/>
        <v>1996/04/10</v>
      </c>
      <c r="I1314" s="149" t="s">
        <v>295</v>
      </c>
      <c r="J1314" s="149" t="s">
        <v>3813</v>
      </c>
      <c r="K1314" s="101" t="str">
        <f t="shared" ref="K1314:K1377" si="105">MID(J1314,1,2)</f>
        <v>96</v>
      </c>
      <c r="L1314" s="101" t="str">
        <f t="shared" ref="L1314:L1377" si="106">MID(J1314,3,2)</f>
        <v>04</v>
      </c>
      <c r="M1314" s="101" t="str">
        <f t="shared" ref="M1314:M1377" si="107">MID(J1314,5,2)</f>
        <v>10</v>
      </c>
    </row>
    <row r="1315" spans="1:13">
      <c r="A1315" t="str">
        <f t="shared" si="103"/>
        <v>島根大学3314男</v>
      </c>
      <c r="B1315" s="149" t="s">
        <v>1062</v>
      </c>
      <c r="C1315" s="149">
        <v>3314</v>
      </c>
      <c r="D1315" s="149" t="s">
        <v>3596</v>
      </c>
      <c r="E1315" s="149" t="s">
        <v>3597</v>
      </c>
      <c r="F1315" s="149" t="s">
        <v>280</v>
      </c>
      <c r="G1315" s="149" t="s">
        <v>143</v>
      </c>
      <c r="H1315" s="151" t="str">
        <f t="shared" si="104"/>
        <v>1996/04/14</v>
      </c>
      <c r="I1315" s="149" t="s">
        <v>301</v>
      </c>
      <c r="J1315" s="149" t="s">
        <v>731</v>
      </c>
      <c r="K1315" s="101" t="str">
        <f t="shared" si="105"/>
        <v>96</v>
      </c>
      <c r="L1315" s="101" t="str">
        <f t="shared" si="106"/>
        <v>04</v>
      </c>
      <c r="M1315" s="101" t="str">
        <f t="shared" si="107"/>
        <v>14</v>
      </c>
    </row>
    <row r="1316" spans="1:13">
      <c r="A1316" t="str">
        <f t="shared" si="103"/>
        <v>島根大学3315男</v>
      </c>
      <c r="B1316" s="149" t="s">
        <v>1062</v>
      </c>
      <c r="C1316" s="149">
        <v>3315</v>
      </c>
      <c r="D1316" s="149" t="s">
        <v>3598</v>
      </c>
      <c r="E1316" s="149" t="s">
        <v>3599</v>
      </c>
      <c r="F1316" s="149" t="s">
        <v>280</v>
      </c>
      <c r="G1316" s="149" t="s">
        <v>143</v>
      </c>
      <c r="H1316" s="151" t="str">
        <f t="shared" si="104"/>
        <v>1994/07/16</v>
      </c>
      <c r="I1316" s="149" t="s">
        <v>301</v>
      </c>
      <c r="J1316" s="149" t="s">
        <v>3732</v>
      </c>
      <c r="K1316" s="101" t="str">
        <f t="shared" si="105"/>
        <v>94</v>
      </c>
      <c r="L1316" s="101" t="str">
        <f t="shared" si="106"/>
        <v>07</v>
      </c>
      <c r="M1316" s="101" t="str">
        <f t="shared" si="107"/>
        <v>16</v>
      </c>
    </row>
    <row r="1317" spans="1:13">
      <c r="A1317" t="str">
        <f t="shared" si="103"/>
        <v>美作大学3316男</v>
      </c>
      <c r="B1317" s="149" t="s">
        <v>1727</v>
      </c>
      <c r="C1317" s="149">
        <v>3316</v>
      </c>
      <c r="D1317" s="149" t="s">
        <v>3600</v>
      </c>
      <c r="E1317" s="149" t="s">
        <v>3601</v>
      </c>
      <c r="F1317" s="149" t="s">
        <v>280</v>
      </c>
      <c r="G1317" s="149" t="s">
        <v>143</v>
      </c>
      <c r="H1317" s="151" t="str">
        <f t="shared" si="104"/>
        <v>1996/12/01</v>
      </c>
      <c r="I1317" s="149" t="s">
        <v>299</v>
      </c>
      <c r="J1317" s="149" t="s">
        <v>392</v>
      </c>
      <c r="K1317" s="101" t="str">
        <f t="shared" si="105"/>
        <v>96</v>
      </c>
      <c r="L1317" s="101" t="str">
        <f t="shared" si="106"/>
        <v>12</v>
      </c>
      <c r="M1317" s="101" t="str">
        <f t="shared" si="107"/>
        <v>01</v>
      </c>
    </row>
    <row r="1318" spans="1:13">
      <c r="A1318" t="str">
        <f t="shared" si="103"/>
        <v>美作大学3317男</v>
      </c>
      <c r="B1318" s="149" t="s">
        <v>1727</v>
      </c>
      <c r="C1318" s="149">
        <v>3317</v>
      </c>
      <c r="D1318" s="149" t="s">
        <v>3602</v>
      </c>
      <c r="E1318" s="149" t="s">
        <v>3603</v>
      </c>
      <c r="F1318" s="149" t="s">
        <v>280</v>
      </c>
      <c r="G1318" s="149" t="s">
        <v>143</v>
      </c>
      <c r="H1318" s="151" t="str">
        <f t="shared" si="104"/>
        <v>1997/03/11</v>
      </c>
      <c r="I1318" s="149" t="s">
        <v>299</v>
      </c>
      <c r="J1318" s="149" t="s">
        <v>4002</v>
      </c>
      <c r="K1318" s="101" t="str">
        <f t="shared" si="105"/>
        <v>97</v>
      </c>
      <c r="L1318" s="101" t="str">
        <f t="shared" si="106"/>
        <v>03</v>
      </c>
      <c r="M1318" s="101" t="str">
        <f t="shared" si="107"/>
        <v>11</v>
      </c>
    </row>
    <row r="1319" spans="1:13">
      <c r="A1319" t="str">
        <f t="shared" si="103"/>
        <v>川崎医療福祉大学3318男</v>
      </c>
      <c r="B1319" s="149" t="s">
        <v>2176</v>
      </c>
      <c r="C1319" s="149">
        <v>3318</v>
      </c>
      <c r="D1319" s="149" t="s">
        <v>3604</v>
      </c>
      <c r="E1319" s="149" t="s">
        <v>3605</v>
      </c>
      <c r="F1319" s="149" t="s">
        <v>280</v>
      </c>
      <c r="G1319" s="149" t="s">
        <v>143</v>
      </c>
      <c r="H1319" s="151" t="str">
        <f t="shared" si="104"/>
        <v>1996/05/01</v>
      </c>
      <c r="I1319" s="149" t="s">
        <v>277</v>
      </c>
      <c r="J1319" s="149" t="s">
        <v>834</v>
      </c>
      <c r="K1319" s="101" t="str">
        <f t="shared" si="105"/>
        <v>96</v>
      </c>
      <c r="L1319" s="101" t="str">
        <f t="shared" si="106"/>
        <v>05</v>
      </c>
      <c r="M1319" s="101" t="str">
        <f t="shared" si="107"/>
        <v>01</v>
      </c>
    </row>
    <row r="1320" spans="1:13">
      <c r="A1320" t="str">
        <f t="shared" si="103"/>
        <v>川崎医療福祉大学3319男</v>
      </c>
      <c r="B1320" s="149" t="s">
        <v>2176</v>
      </c>
      <c r="C1320" s="149">
        <v>3319</v>
      </c>
      <c r="D1320" s="149" t="s">
        <v>3606</v>
      </c>
      <c r="E1320" s="149" t="s">
        <v>3607</v>
      </c>
      <c r="F1320" s="149" t="s">
        <v>280</v>
      </c>
      <c r="G1320" s="149" t="s">
        <v>143</v>
      </c>
      <c r="H1320" s="151" t="str">
        <f t="shared" si="104"/>
        <v>1996/12/02</v>
      </c>
      <c r="I1320" s="149" t="s">
        <v>299</v>
      </c>
      <c r="J1320" s="149" t="s">
        <v>3946</v>
      </c>
      <c r="K1320" s="101" t="str">
        <f t="shared" si="105"/>
        <v>96</v>
      </c>
      <c r="L1320" s="101" t="str">
        <f t="shared" si="106"/>
        <v>12</v>
      </c>
      <c r="M1320" s="101" t="str">
        <f t="shared" si="107"/>
        <v>02</v>
      </c>
    </row>
    <row r="1321" spans="1:13">
      <c r="A1321" t="str">
        <f t="shared" si="103"/>
        <v>川崎医療福祉大学3320男</v>
      </c>
      <c r="B1321" s="149" t="s">
        <v>2176</v>
      </c>
      <c r="C1321" s="149">
        <v>3320</v>
      </c>
      <c r="D1321" s="149" t="s">
        <v>3608</v>
      </c>
      <c r="E1321" s="149" t="s">
        <v>3609</v>
      </c>
      <c r="F1321" s="149" t="s">
        <v>280</v>
      </c>
      <c r="G1321" s="149" t="s">
        <v>143</v>
      </c>
      <c r="H1321" s="151" t="str">
        <f t="shared" si="104"/>
        <v>1996/12/27</v>
      </c>
      <c r="I1321" s="149" t="s">
        <v>299</v>
      </c>
      <c r="J1321" s="149" t="s">
        <v>813</v>
      </c>
      <c r="K1321" s="101" t="str">
        <f t="shared" si="105"/>
        <v>96</v>
      </c>
      <c r="L1321" s="101" t="str">
        <f t="shared" si="106"/>
        <v>12</v>
      </c>
      <c r="M1321" s="101" t="str">
        <f t="shared" si="107"/>
        <v>27</v>
      </c>
    </row>
    <row r="1322" spans="1:13">
      <c r="A1322" t="str">
        <f t="shared" si="103"/>
        <v>鳴門教育大学3321男</v>
      </c>
      <c r="B1322" s="149" t="s">
        <v>2088</v>
      </c>
      <c r="C1322" s="149">
        <v>3321</v>
      </c>
      <c r="D1322" s="149" t="s">
        <v>3610</v>
      </c>
      <c r="E1322" s="149" t="s">
        <v>3611</v>
      </c>
      <c r="F1322" s="149" t="s">
        <v>280</v>
      </c>
      <c r="G1322" s="149" t="s">
        <v>143</v>
      </c>
      <c r="H1322" s="151" t="str">
        <f t="shared" si="104"/>
        <v>1996/12/13</v>
      </c>
      <c r="I1322" s="149" t="s">
        <v>276</v>
      </c>
      <c r="J1322" s="149" t="s">
        <v>4003</v>
      </c>
      <c r="K1322" s="101" t="str">
        <f t="shared" si="105"/>
        <v>96</v>
      </c>
      <c r="L1322" s="101" t="str">
        <f t="shared" si="106"/>
        <v>12</v>
      </c>
      <c r="M1322" s="101" t="str">
        <f t="shared" si="107"/>
        <v>13</v>
      </c>
    </row>
    <row r="1323" spans="1:13">
      <c r="A1323" t="str">
        <f t="shared" si="103"/>
        <v>鳴門教育大学3322男</v>
      </c>
      <c r="B1323" s="149" t="s">
        <v>2088</v>
      </c>
      <c r="C1323" s="149">
        <v>3322</v>
      </c>
      <c r="D1323" s="149" t="s">
        <v>3612</v>
      </c>
      <c r="E1323" s="149" t="s">
        <v>3613</v>
      </c>
      <c r="F1323" s="149" t="s">
        <v>264</v>
      </c>
      <c r="G1323" s="149" t="s">
        <v>143</v>
      </c>
      <c r="H1323" s="151" t="str">
        <f t="shared" si="104"/>
        <v>1989/08/19</v>
      </c>
      <c r="I1323" s="149" t="s">
        <v>276</v>
      </c>
      <c r="J1323" s="149" t="s">
        <v>4004</v>
      </c>
      <c r="K1323" s="101" t="str">
        <f t="shared" si="105"/>
        <v>89</v>
      </c>
      <c r="L1323" s="101" t="str">
        <f t="shared" si="106"/>
        <v>08</v>
      </c>
      <c r="M1323" s="101" t="str">
        <f t="shared" si="107"/>
        <v>19</v>
      </c>
    </row>
    <row r="1324" spans="1:13">
      <c r="A1324" t="str">
        <f t="shared" si="103"/>
        <v>福山大学3323男</v>
      </c>
      <c r="B1324" s="149" t="s">
        <v>1342</v>
      </c>
      <c r="C1324" s="149">
        <v>3323</v>
      </c>
      <c r="D1324" s="149" t="s">
        <v>3614</v>
      </c>
      <c r="E1324" s="149" t="s">
        <v>3615</v>
      </c>
      <c r="F1324" s="149" t="s">
        <v>280</v>
      </c>
      <c r="G1324" s="149" t="s">
        <v>143</v>
      </c>
      <c r="H1324" s="151" t="str">
        <f t="shared" si="104"/>
        <v>1996/11/10</v>
      </c>
      <c r="I1324" s="149" t="s">
        <v>277</v>
      </c>
      <c r="J1324" s="149" t="s">
        <v>706</v>
      </c>
      <c r="K1324" s="101" t="str">
        <f t="shared" si="105"/>
        <v>96</v>
      </c>
      <c r="L1324" s="101" t="str">
        <f t="shared" si="106"/>
        <v>11</v>
      </c>
      <c r="M1324" s="101" t="str">
        <f t="shared" si="107"/>
        <v>10</v>
      </c>
    </row>
    <row r="1325" spans="1:13">
      <c r="A1325" t="str">
        <f t="shared" si="103"/>
        <v>松山大学3324男</v>
      </c>
      <c r="B1325" s="149" t="s">
        <v>2840</v>
      </c>
      <c r="C1325" s="149">
        <v>3324</v>
      </c>
      <c r="D1325" s="149" t="s">
        <v>3616</v>
      </c>
      <c r="E1325" s="149" t="s">
        <v>3617</v>
      </c>
      <c r="F1325" s="149" t="s">
        <v>280</v>
      </c>
      <c r="G1325" s="149" t="s">
        <v>143</v>
      </c>
      <c r="H1325" s="151" t="str">
        <f t="shared" si="104"/>
        <v>1996/04/11</v>
      </c>
      <c r="I1325" s="149" t="s">
        <v>289</v>
      </c>
      <c r="J1325" s="149" t="s">
        <v>764</v>
      </c>
      <c r="K1325" s="101" t="str">
        <f t="shared" si="105"/>
        <v>96</v>
      </c>
      <c r="L1325" s="101" t="str">
        <f t="shared" si="106"/>
        <v>04</v>
      </c>
      <c r="M1325" s="101" t="str">
        <f t="shared" si="107"/>
        <v>11</v>
      </c>
    </row>
    <row r="1326" spans="1:13">
      <c r="A1326" t="str">
        <f t="shared" si="103"/>
        <v>松山大学3325男</v>
      </c>
      <c r="B1326" s="149" t="s">
        <v>2840</v>
      </c>
      <c r="C1326" s="149">
        <v>3325</v>
      </c>
      <c r="D1326" s="149" t="s">
        <v>3618</v>
      </c>
      <c r="E1326" s="149" t="s">
        <v>3619</v>
      </c>
      <c r="F1326" s="149" t="s">
        <v>280</v>
      </c>
      <c r="G1326" s="149" t="s">
        <v>143</v>
      </c>
      <c r="H1326" s="151" t="str">
        <f t="shared" si="104"/>
        <v>1994/04/09</v>
      </c>
      <c r="I1326" s="149" t="s">
        <v>263</v>
      </c>
      <c r="J1326" s="149" t="s">
        <v>475</v>
      </c>
      <c r="K1326" s="101" t="str">
        <f t="shared" si="105"/>
        <v>94</v>
      </c>
      <c r="L1326" s="101" t="str">
        <f t="shared" si="106"/>
        <v>04</v>
      </c>
      <c r="M1326" s="101" t="str">
        <f t="shared" si="107"/>
        <v>09</v>
      </c>
    </row>
    <row r="1327" spans="1:13">
      <c r="A1327" t="str">
        <f t="shared" si="103"/>
        <v>松山大学3326男</v>
      </c>
      <c r="B1327" s="149" t="s">
        <v>2840</v>
      </c>
      <c r="C1327" s="149">
        <v>3326</v>
      </c>
      <c r="D1327" s="149" t="s">
        <v>3620</v>
      </c>
      <c r="E1327" s="149" t="s">
        <v>3621</v>
      </c>
      <c r="F1327" s="149" t="s">
        <v>280</v>
      </c>
      <c r="G1327" s="149" t="s">
        <v>143</v>
      </c>
      <c r="H1327" s="151" t="str">
        <f t="shared" si="104"/>
        <v>1996/06/03</v>
      </c>
      <c r="I1327" s="149" t="s">
        <v>295</v>
      </c>
      <c r="J1327" s="149" t="s">
        <v>4005</v>
      </c>
      <c r="K1327" s="101" t="str">
        <f t="shared" si="105"/>
        <v>96</v>
      </c>
      <c r="L1327" s="101" t="str">
        <f t="shared" si="106"/>
        <v>06</v>
      </c>
      <c r="M1327" s="101" t="str">
        <f t="shared" si="107"/>
        <v>03</v>
      </c>
    </row>
    <row r="1328" spans="1:13">
      <c r="A1328" t="str">
        <f t="shared" si="103"/>
        <v>徳島文理大学3001女</v>
      </c>
      <c r="B1328" s="150" t="s">
        <v>966</v>
      </c>
      <c r="C1328" s="150">
        <v>3001</v>
      </c>
      <c r="D1328" s="150" t="s">
        <v>4008</v>
      </c>
      <c r="E1328" s="150" t="s">
        <v>4402</v>
      </c>
      <c r="F1328" s="150" t="s">
        <v>267</v>
      </c>
      <c r="G1328" s="149" t="s">
        <v>840</v>
      </c>
      <c r="H1328" s="151" t="str">
        <f t="shared" si="104"/>
        <v>1995/09/05</v>
      </c>
      <c r="I1328" s="150" t="s">
        <v>281</v>
      </c>
      <c r="J1328" s="150" t="s">
        <v>693</v>
      </c>
      <c r="K1328" s="101" t="str">
        <f t="shared" si="105"/>
        <v>95</v>
      </c>
      <c r="L1328" s="101" t="str">
        <f t="shared" si="106"/>
        <v>09</v>
      </c>
      <c r="M1328" s="101" t="str">
        <f t="shared" si="107"/>
        <v>05</v>
      </c>
    </row>
    <row r="1329" spans="1:13">
      <c r="A1329" t="str">
        <f t="shared" si="103"/>
        <v>川崎医科大学3002女</v>
      </c>
      <c r="B1329" s="150" t="s">
        <v>1002</v>
      </c>
      <c r="C1329" s="150">
        <v>3002</v>
      </c>
      <c r="D1329" s="150" t="s">
        <v>4009</v>
      </c>
      <c r="E1329" s="150" t="s">
        <v>4403</v>
      </c>
      <c r="F1329" s="150" t="s">
        <v>260</v>
      </c>
      <c r="G1329" s="149" t="s">
        <v>840</v>
      </c>
      <c r="H1329" s="151" t="str">
        <f t="shared" si="104"/>
        <v>1991/07/14</v>
      </c>
      <c r="I1329" s="150" t="s">
        <v>299</v>
      </c>
      <c r="J1329" s="150" t="s">
        <v>4795</v>
      </c>
      <c r="K1329" s="101" t="str">
        <f t="shared" si="105"/>
        <v>91</v>
      </c>
      <c r="L1329" s="101" t="str">
        <f t="shared" si="106"/>
        <v>07</v>
      </c>
      <c r="M1329" s="101" t="str">
        <f t="shared" si="107"/>
        <v>14</v>
      </c>
    </row>
    <row r="1330" spans="1:13">
      <c r="A1330" t="str">
        <f t="shared" si="103"/>
        <v>川崎医科大学3003女</v>
      </c>
      <c r="B1330" s="150" t="s">
        <v>1002</v>
      </c>
      <c r="C1330" s="150">
        <v>3003</v>
      </c>
      <c r="D1330" s="150" t="s">
        <v>4010</v>
      </c>
      <c r="E1330" s="150" t="s">
        <v>4404</v>
      </c>
      <c r="F1330" s="150" t="s">
        <v>265</v>
      </c>
      <c r="G1330" s="149" t="s">
        <v>840</v>
      </c>
      <c r="H1330" s="151" t="str">
        <f t="shared" si="104"/>
        <v>1992/04/04</v>
      </c>
      <c r="I1330" s="150" t="s">
        <v>299</v>
      </c>
      <c r="J1330" s="150" t="s">
        <v>4796</v>
      </c>
      <c r="K1330" s="101" t="str">
        <f t="shared" si="105"/>
        <v>92</v>
      </c>
      <c r="L1330" s="101" t="str">
        <f t="shared" si="106"/>
        <v>04</v>
      </c>
      <c r="M1330" s="101" t="str">
        <f t="shared" si="107"/>
        <v>04</v>
      </c>
    </row>
    <row r="1331" spans="1:13">
      <c r="A1331" t="str">
        <f t="shared" si="103"/>
        <v>島根大学3004女</v>
      </c>
      <c r="B1331" s="150" t="s">
        <v>1062</v>
      </c>
      <c r="C1331" s="150">
        <v>3004</v>
      </c>
      <c r="D1331" s="150" t="s">
        <v>3</v>
      </c>
      <c r="E1331" s="150" t="s">
        <v>4405</v>
      </c>
      <c r="F1331" s="150" t="s">
        <v>260</v>
      </c>
      <c r="G1331" s="149" t="s">
        <v>840</v>
      </c>
      <c r="H1331" s="151" t="str">
        <f t="shared" si="104"/>
        <v>1993/09/01</v>
      </c>
      <c r="I1331" s="150" t="s">
        <v>301</v>
      </c>
      <c r="J1331" s="150" t="s">
        <v>884</v>
      </c>
      <c r="K1331" s="101" t="str">
        <f t="shared" si="105"/>
        <v>93</v>
      </c>
      <c r="L1331" s="101" t="str">
        <f t="shared" si="106"/>
        <v>09</v>
      </c>
      <c r="M1331" s="101" t="str">
        <f t="shared" si="107"/>
        <v>01</v>
      </c>
    </row>
    <row r="1332" spans="1:13">
      <c r="A1332" t="str">
        <f t="shared" si="103"/>
        <v>島根大学3005女</v>
      </c>
      <c r="B1332" s="150" t="s">
        <v>1062</v>
      </c>
      <c r="C1332" s="150">
        <v>3005</v>
      </c>
      <c r="D1332" s="150" t="s">
        <v>4011</v>
      </c>
      <c r="E1332" s="150" t="s">
        <v>4406</v>
      </c>
      <c r="F1332" s="150" t="s">
        <v>260</v>
      </c>
      <c r="G1332" s="149" t="s">
        <v>840</v>
      </c>
      <c r="H1332" s="151" t="str">
        <f t="shared" si="104"/>
        <v>1993/04/26</v>
      </c>
      <c r="I1332" s="150" t="s">
        <v>302</v>
      </c>
      <c r="J1332" s="150" t="s">
        <v>778</v>
      </c>
      <c r="K1332" s="101" t="str">
        <f t="shared" si="105"/>
        <v>93</v>
      </c>
      <c r="L1332" s="101" t="str">
        <f t="shared" si="106"/>
        <v>04</v>
      </c>
      <c r="M1332" s="101" t="str">
        <f t="shared" si="107"/>
        <v>26</v>
      </c>
    </row>
    <row r="1333" spans="1:13">
      <c r="A1333" t="str">
        <f t="shared" si="103"/>
        <v>島根大学3006女</v>
      </c>
      <c r="B1333" s="150" t="s">
        <v>1062</v>
      </c>
      <c r="C1333" s="150">
        <v>3006</v>
      </c>
      <c r="D1333" s="150" t="s">
        <v>4012</v>
      </c>
      <c r="E1333" s="150" t="s">
        <v>4407</v>
      </c>
      <c r="F1333" s="150" t="s">
        <v>4858</v>
      </c>
      <c r="G1333" s="149" t="s">
        <v>840</v>
      </c>
      <c r="H1333" s="151" t="str">
        <f t="shared" si="104"/>
        <v>1995/02/17</v>
      </c>
      <c r="I1333" s="150" t="s">
        <v>302</v>
      </c>
      <c r="J1333" s="150" t="s">
        <v>373</v>
      </c>
      <c r="K1333" s="101" t="str">
        <f t="shared" si="105"/>
        <v>95</v>
      </c>
      <c r="L1333" s="101" t="str">
        <f t="shared" si="106"/>
        <v>02</v>
      </c>
      <c r="M1333" s="101" t="str">
        <f t="shared" si="107"/>
        <v>17</v>
      </c>
    </row>
    <row r="1334" spans="1:13">
      <c r="A1334" t="str">
        <f t="shared" si="103"/>
        <v>島根大学3007女</v>
      </c>
      <c r="B1334" s="150" t="s">
        <v>1062</v>
      </c>
      <c r="C1334" s="150">
        <v>3007</v>
      </c>
      <c r="D1334" s="150" t="s">
        <v>4013</v>
      </c>
      <c r="E1334" s="150" t="s">
        <v>4408</v>
      </c>
      <c r="F1334" s="150" t="s">
        <v>267</v>
      </c>
      <c r="G1334" s="149" t="s">
        <v>840</v>
      </c>
      <c r="H1334" s="151" t="str">
        <f t="shared" si="104"/>
        <v>1996/02/29</v>
      </c>
      <c r="I1334" s="150" t="s">
        <v>301</v>
      </c>
      <c r="J1334" s="150" t="s">
        <v>881</v>
      </c>
      <c r="K1334" s="101" t="str">
        <f t="shared" si="105"/>
        <v>96</v>
      </c>
      <c r="L1334" s="101" t="str">
        <f t="shared" si="106"/>
        <v>02</v>
      </c>
      <c r="M1334" s="101" t="str">
        <f t="shared" si="107"/>
        <v>29</v>
      </c>
    </row>
    <row r="1335" spans="1:13">
      <c r="A1335" t="str">
        <f t="shared" si="103"/>
        <v>島根大学3008女</v>
      </c>
      <c r="B1335" s="150" t="s">
        <v>1062</v>
      </c>
      <c r="C1335" s="150">
        <v>3008</v>
      </c>
      <c r="D1335" s="150" t="s">
        <v>4014</v>
      </c>
      <c r="E1335" s="150" t="s">
        <v>4409</v>
      </c>
      <c r="F1335" s="150" t="s">
        <v>267</v>
      </c>
      <c r="G1335" s="149" t="s">
        <v>840</v>
      </c>
      <c r="H1335" s="151" t="str">
        <f t="shared" si="104"/>
        <v>1995/06/28</v>
      </c>
      <c r="I1335" s="150" t="s">
        <v>301</v>
      </c>
      <c r="J1335" s="150" t="s">
        <v>349</v>
      </c>
      <c r="K1335" s="101" t="str">
        <f t="shared" si="105"/>
        <v>95</v>
      </c>
      <c r="L1335" s="101" t="str">
        <f t="shared" si="106"/>
        <v>06</v>
      </c>
      <c r="M1335" s="101" t="str">
        <f t="shared" si="107"/>
        <v>28</v>
      </c>
    </row>
    <row r="1336" spans="1:13">
      <c r="A1336" t="str">
        <f t="shared" si="103"/>
        <v>島根大学3009女</v>
      </c>
      <c r="B1336" s="150" t="s">
        <v>1062</v>
      </c>
      <c r="C1336" s="150">
        <v>3009</v>
      </c>
      <c r="D1336" s="150" t="s">
        <v>4015</v>
      </c>
      <c r="E1336" s="150" t="s">
        <v>4410</v>
      </c>
      <c r="F1336" s="150" t="s">
        <v>267</v>
      </c>
      <c r="G1336" s="149" t="s">
        <v>840</v>
      </c>
      <c r="H1336" s="151" t="str">
        <f t="shared" si="104"/>
        <v>1995/10/07</v>
      </c>
      <c r="I1336" s="150" t="s">
        <v>301</v>
      </c>
      <c r="J1336" s="150" t="s">
        <v>539</v>
      </c>
      <c r="K1336" s="101" t="str">
        <f t="shared" si="105"/>
        <v>95</v>
      </c>
      <c r="L1336" s="101" t="str">
        <f t="shared" si="106"/>
        <v>10</v>
      </c>
      <c r="M1336" s="101" t="str">
        <f t="shared" si="107"/>
        <v>07</v>
      </c>
    </row>
    <row r="1337" spans="1:13">
      <c r="A1337" t="str">
        <f t="shared" si="103"/>
        <v>島根大学3010女</v>
      </c>
      <c r="B1337" s="150" t="s">
        <v>1062</v>
      </c>
      <c r="C1337" s="150">
        <v>3010</v>
      </c>
      <c r="D1337" s="150" t="s">
        <v>4016</v>
      </c>
      <c r="E1337" s="150" t="s">
        <v>4411</v>
      </c>
      <c r="F1337" s="150" t="s">
        <v>280</v>
      </c>
      <c r="G1337" s="149" t="s">
        <v>840</v>
      </c>
      <c r="H1337" s="151" t="str">
        <f t="shared" si="104"/>
        <v>1996/05/31</v>
      </c>
      <c r="I1337" s="150" t="s">
        <v>302</v>
      </c>
      <c r="J1337" s="150" t="s">
        <v>3920</v>
      </c>
      <c r="K1337" s="101" t="str">
        <f t="shared" si="105"/>
        <v>96</v>
      </c>
      <c r="L1337" s="101" t="str">
        <f t="shared" si="106"/>
        <v>05</v>
      </c>
      <c r="M1337" s="101" t="str">
        <f t="shared" si="107"/>
        <v>31</v>
      </c>
    </row>
    <row r="1338" spans="1:13">
      <c r="A1338" t="str">
        <f t="shared" si="103"/>
        <v>島根大学3011女</v>
      </c>
      <c r="B1338" s="150" t="s">
        <v>1062</v>
      </c>
      <c r="C1338" s="150">
        <v>3011</v>
      </c>
      <c r="D1338" s="150" t="s">
        <v>4017</v>
      </c>
      <c r="E1338" s="150" t="s">
        <v>6</v>
      </c>
      <c r="F1338" s="150" t="s">
        <v>280</v>
      </c>
      <c r="G1338" s="149" t="s">
        <v>840</v>
      </c>
      <c r="H1338" s="151" t="str">
        <f t="shared" si="104"/>
        <v>1996/10/26</v>
      </c>
      <c r="I1338" s="150" t="s">
        <v>301</v>
      </c>
      <c r="J1338" s="150" t="s">
        <v>3962</v>
      </c>
      <c r="K1338" s="101" t="str">
        <f t="shared" si="105"/>
        <v>96</v>
      </c>
      <c r="L1338" s="101" t="str">
        <f t="shared" si="106"/>
        <v>10</v>
      </c>
      <c r="M1338" s="101" t="str">
        <f t="shared" si="107"/>
        <v>26</v>
      </c>
    </row>
    <row r="1339" spans="1:13">
      <c r="A1339" t="str">
        <f t="shared" si="103"/>
        <v>倉敷芸術科学大学3012女</v>
      </c>
      <c r="B1339" s="150" t="s">
        <v>1119</v>
      </c>
      <c r="C1339" s="150">
        <v>3012</v>
      </c>
      <c r="D1339" s="150" t="s">
        <v>4018</v>
      </c>
      <c r="E1339" s="150" t="s">
        <v>4412</v>
      </c>
      <c r="F1339" s="150" t="s">
        <v>260</v>
      </c>
      <c r="G1339" s="149" t="s">
        <v>840</v>
      </c>
      <c r="H1339" s="151" t="str">
        <f t="shared" si="104"/>
        <v>1993/04/26</v>
      </c>
      <c r="I1339" s="150" t="s">
        <v>299</v>
      </c>
      <c r="J1339" s="150" t="s">
        <v>778</v>
      </c>
      <c r="K1339" s="101" t="str">
        <f t="shared" si="105"/>
        <v>93</v>
      </c>
      <c r="L1339" s="101" t="str">
        <f t="shared" si="106"/>
        <v>04</v>
      </c>
      <c r="M1339" s="101" t="str">
        <f t="shared" si="107"/>
        <v>26</v>
      </c>
    </row>
    <row r="1340" spans="1:13">
      <c r="A1340" t="str">
        <f t="shared" si="103"/>
        <v>倉敷芸術科学大学3013女</v>
      </c>
      <c r="B1340" s="150" t="s">
        <v>1119</v>
      </c>
      <c r="C1340" s="150">
        <v>3013</v>
      </c>
      <c r="D1340" s="150" t="s">
        <v>4019</v>
      </c>
      <c r="E1340" s="150" t="s">
        <v>4413</v>
      </c>
      <c r="F1340" s="150" t="s">
        <v>265</v>
      </c>
      <c r="G1340" s="149" t="s">
        <v>840</v>
      </c>
      <c r="H1340" s="151" t="str">
        <f t="shared" si="104"/>
        <v>1994/10/29</v>
      </c>
      <c r="I1340" s="150" t="s">
        <v>299</v>
      </c>
      <c r="J1340" s="150" t="s">
        <v>680</v>
      </c>
      <c r="K1340" s="101" t="str">
        <f t="shared" si="105"/>
        <v>94</v>
      </c>
      <c r="L1340" s="101" t="str">
        <f t="shared" si="106"/>
        <v>10</v>
      </c>
      <c r="M1340" s="101" t="str">
        <f t="shared" si="107"/>
        <v>29</v>
      </c>
    </row>
    <row r="1341" spans="1:13">
      <c r="A1341" t="str">
        <f t="shared" si="103"/>
        <v>倉敷芸術科学大学3014女</v>
      </c>
      <c r="B1341" s="150" t="s">
        <v>1119</v>
      </c>
      <c r="C1341" s="150">
        <v>3014</v>
      </c>
      <c r="D1341" s="150" t="s">
        <v>4020</v>
      </c>
      <c r="E1341" s="150" t="s">
        <v>4414</v>
      </c>
      <c r="F1341" s="150" t="s">
        <v>265</v>
      </c>
      <c r="G1341" s="149" t="s">
        <v>840</v>
      </c>
      <c r="H1341" s="151" t="str">
        <f t="shared" si="104"/>
        <v>1994/08/18</v>
      </c>
      <c r="I1341" s="150" t="s">
        <v>299</v>
      </c>
      <c r="J1341" s="150" t="s">
        <v>929</v>
      </c>
      <c r="K1341" s="101" t="str">
        <f t="shared" si="105"/>
        <v>94</v>
      </c>
      <c r="L1341" s="101" t="str">
        <f t="shared" si="106"/>
        <v>08</v>
      </c>
      <c r="M1341" s="101" t="str">
        <f t="shared" si="107"/>
        <v>18</v>
      </c>
    </row>
    <row r="1342" spans="1:13">
      <c r="A1342" t="str">
        <f t="shared" si="103"/>
        <v>弓削商船高等専門学校3015女</v>
      </c>
      <c r="B1342" s="150" t="s">
        <v>1131</v>
      </c>
      <c r="C1342" s="150">
        <v>3015</v>
      </c>
      <c r="D1342" s="150" t="s">
        <v>4021</v>
      </c>
      <c r="E1342" s="150" t="s">
        <v>4415</v>
      </c>
      <c r="F1342" s="150" t="s">
        <v>280</v>
      </c>
      <c r="G1342" s="149" t="s">
        <v>840</v>
      </c>
      <c r="H1342" s="151" t="str">
        <f t="shared" si="104"/>
        <v>1996/08/13</v>
      </c>
      <c r="I1342" s="150" t="s">
        <v>281</v>
      </c>
      <c r="J1342" s="150" t="s">
        <v>719</v>
      </c>
      <c r="K1342" s="101" t="str">
        <f t="shared" si="105"/>
        <v>96</v>
      </c>
      <c r="L1342" s="101" t="str">
        <f t="shared" si="106"/>
        <v>08</v>
      </c>
      <c r="M1342" s="101" t="str">
        <f t="shared" si="107"/>
        <v>13</v>
      </c>
    </row>
    <row r="1343" spans="1:13">
      <c r="A1343" t="str">
        <f t="shared" si="103"/>
        <v>徳山大学3016女</v>
      </c>
      <c r="B1343" s="150" t="s">
        <v>1250</v>
      </c>
      <c r="C1343" s="150">
        <v>3016</v>
      </c>
      <c r="D1343" s="150" t="s">
        <v>4022</v>
      </c>
      <c r="E1343" s="150" t="s">
        <v>4416</v>
      </c>
      <c r="F1343" s="150" t="s">
        <v>260</v>
      </c>
      <c r="G1343" s="149" t="s">
        <v>840</v>
      </c>
      <c r="H1343" s="151" t="str">
        <f t="shared" si="104"/>
        <v>1993/06/15</v>
      </c>
      <c r="I1343" s="150" t="s">
        <v>295</v>
      </c>
      <c r="J1343" s="150" t="s">
        <v>570</v>
      </c>
      <c r="K1343" s="101" t="str">
        <f t="shared" si="105"/>
        <v>93</v>
      </c>
      <c r="L1343" s="101" t="str">
        <f t="shared" si="106"/>
        <v>06</v>
      </c>
      <c r="M1343" s="101" t="str">
        <f t="shared" si="107"/>
        <v>15</v>
      </c>
    </row>
    <row r="1344" spans="1:13">
      <c r="A1344" t="str">
        <f t="shared" si="103"/>
        <v>徳山大学3017女</v>
      </c>
      <c r="B1344" s="150" t="s">
        <v>1250</v>
      </c>
      <c r="C1344" s="150">
        <v>3017</v>
      </c>
      <c r="D1344" s="150" t="s">
        <v>4023</v>
      </c>
      <c r="E1344" s="150" t="s">
        <v>4417</v>
      </c>
      <c r="F1344" s="150" t="s">
        <v>260</v>
      </c>
      <c r="G1344" s="149" t="s">
        <v>840</v>
      </c>
      <c r="H1344" s="151" t="str">
        <f t="shared" si="104"/>
        <v>1993/05/10</v>
      </c>
      <c r="I1344" s="150" t="s">
        <v>275</v>
      </c>
      <c r="J1344" s="150" t="s">
        <v>630</v>
      </c>
      <c r="K1344" s="101" t="str">
        <f t="shared" si="105"/>
        <v>93</v>
      </c>
      <c r="L1344" s="101" t="str">
        <f t="shared" si="106"/>
        <v>05</v>
      </c>
      <c r="M1344" s="101" t="str">
        <f t="shared" si="107"/>
        <v>10</v>
      </c>
    </row>
    <row r="1345" spans="1:13">
      <c r="A1345" t="str">
        <f t="shared" si="103"/>
        <v>徳山大学3018女</v>
      </c>
      <c r="B1345" s="150" t="s">
        <v>1250</v>
      </c>
      <c r="C1345" s="150">
        <v>3018</v>
      </c>
      <c r="D1345" s="150" t="s">
        <v>4024</v>
      </c>
      <c r="E1345" s="150" t="s">
        <v>4418</v>
      </c>
      <c r="F1345" s="150" t="s">
        <v>260</v>
      </c>
      <c r="G1345" s="149" t="s">
        <v>840</v>
      </c>
      <c r="H1345" s="151" t="str">
        <f t="shared" si="104"/>
        <v>1993/06/04</v>
      </c>
      <c r="I1345" s="150" t="s">
        <v>275</v>
      </c>
      <c r="J1345" s="150" t="s">
        <v>847</v>
      </c>
      <c r="K1345" s="101" t="str">
        <f t="shared" si="105"/>
        <v>93</v>
      </c>
      <c r="L1345" s="101" t="str">
        <f t="shared" si="106"/>
        <v>06</v>
      </c>
      <c r="M1345" s="101" t="str">
        <f t="shared" si="107"/>
        <v>04</v>
      </c>
    </row>
    <row r="1346" spans="1:13">
      <c r="A1346" t="str">
        <f t="shared" ref="A1346:A1409" si="108">B1346&amp;C1346&amp;G1346</f>
        <v>徳山大学3019女</v>
      </c>
      <c r="B1346" s="150" t="s">
        <v>1250</v>
      </c>
      <c r="C1346" s="150">
        <v>3019</v>
      </c>
      <c r="D1346" s="150" t="s">
        <v>4025</v>
      </c>
      <c r="E1346" s="150" t="s">
        <v>4419</v>
      </c>
      <c r="F1346" s="150" t="s">
        <v>260</v>
      </c>
      <c r="G1346" s="149" t="s">
        <v>840</v>
      </c>
      <c r="H1346" s="151" t="str">
        <f t="shared" si="104"/>
        <v>1994/02/09</v>
      </c>
      <c r="I1346" s="150" t="s">
        <v>276</v>
      </c>
      <c r="J1346" s="150" t="s">
        <v>550</v>
      </c>
      <c r="K1346" s="101" t="str">
        <f t="shared" si="105"/>
        <v>94</v>
      </c>
      <c r="L1346" s="101" t="str">
        <f t="shared" si="106"/>
        <v>02</v>
      </c>
      <c r="M1346" s="101" t="str">
        <f t="shared" si="107"/>
        <v>09</v>
      </c>
    </row>
    <row r="1347" spans="1:13">
      <c r="A1347" t="str">
        <f t="shared" si="108"/>
        <v>徳山大学3020女</v>
      </c>
      <c r="B1347" s="150" t="s">
        <v>1250</v>
      </c>
      <c r="C1347" s="150">
        <v>3020</v>
      </c>
      <c r="D1347" s="150" t="s">
        <v>4026</v>
      </c>
      <c r="E1347" s="150" t="s">
        <v>4420</v>
      </c>
      <c r="F1347" s="150" t="s">
        <v>260</v>
      </c>
      <c r="G1347" s="149" t="s">
        <v>840</v>
      </c>
      <c r="H1347" s="151" t="str">
        <f t="shared" ref="H1347:H1410" si="109">"19"&amp;K1347&amp;"/"&amp;L1347&amp;"/"&amp;M1347</f>
        <v>1993/05/19</v>
      </c>
      <c r="I1347" s="150" t="s">
        <v>304</v>
      </c>
      <c r="J1347" s="150" t="s">
        <v>3668</v>
      </c>
      <c r="K1347" s="101" t="str">
        <f t="shared" si="105"/>
        <v>93</v>
      </c>
      <c r="L1347" s="101" t="str">
        <f t="shared" si="106"/>
        <v>05</v>
      </c>
      <c r="M1347" s="101" t="str">
        <f t="shared" si="107"/>
        <v>19</v>
      </c>
    </row>
    <row r="1348" spans="1:13">
      <c r="A1348" t="str">
        <f t="shared" si="108"/>
        <v>徳山大学3021女</v>
      </c>
      <c r="B1348" s="150" t="s">
        <v>1250</v>
      </c>
      <c r="C1348" s="150">
        <v>3021</v>
      </c>
      <c r="D1348" s="150" t="s">
        <v>4027</v>
      </c>
      <c r="E1348" s="150" t="s">
        <v>4421</v>
      </c>
      <c r="F1348" s="150" t="s">
        <v>260</v>
      </c>
      <c r="G1348" s="149" t="s">
        <v>840</v>
      </c>
      <c r="H1348" s="151" t="str">
        <f t="shared" si="109"/>
        <v>1993/09/06</v>
      </c>
      <c r="I1348" s="150" t="s">
        <v>5</v>
      </c>
      <c r="J1348" s="150" t="s">
        <v>4797</v>
      </c>
      <c r="K1348" s="101" t="str">
        <f t="shared" si="105"/>
        <v>93</v>
      </c>
      <c r="L1348" s="101" t="str">
        <f t="shared" si="106"/>
        <v>09</v>
      </c>
      <c r="M1348" s="101" t="str">
        <f t="shared" si="107"/>
        <v>06</v>
      </c>
    </row>
    <row r="1349" spans="1:13">
      <c r="A1349" t="str">
        <f t="shared" si="108"/>
        <v>徳山大学3022女</v>
      </c>
      <c r="B1349" s="150" t="s">
        <v>1250</v>
      </c>
      <c r="C1349" s="150">
        <v>3022</v>
      </c>
      <c r="D1349" s="150" t="s">
        <v>4028</v>
      </c>
      <c r="E1349" s="150" t="s">
        <v>4422</v>
      </c>
      <c r="F1349" s="150" t="s">
        <v>260</v>
      </c>
      <c r="G1349" s="149" t="s">
        <v>840</v>
      </c>
      <c r="H1349" s="151" t="str">
        <f t="shared" si="109"/>
        <v>1993/06/07</v>
      </c>
      <c r="I1349" s="150" t="s">
        <v>275</v>
      </c>
      <c r="J1349" s="150" t="s">
        <v>335</v>
      </c>
      <c r="K1349" s="101" t="str">
        <f t="shared" si="105"/>
        <v>93</v>
      </c>
      <c r="L1349" s="101" t="str">
        <f t="shared" si="106"/>
        <v>06</v>
      </c>
      <c r="M1349" s="101" t="str">
        <f t="shared" si="107"/>
        <v>07</v>
      </c>
    </row>
    <row r="1350" spans="1:13">
      <c r="A1350" t="str">
        <f t="shared" si="108"/>
        <v>徳山大学3023女</v>
      </c>
      <c r="B1350" s="150" t="s">
        <v>1250</v>
      </c>
      <c r="C1350" s="150">
        <v>3023</v>
      </c>
      <c r="D1350" s="150" t="s">
        <v>4029</v>
      </c>
      <c r="E1350" s="150" t="s">
        <v>4423</v>
      </c>
      <c r="F1350" s="150" t="s">
        <v>260</v>
      </c>
      <c r="G1350" s="149" t="s">
        <v>840</v>
      </c>
      <c r="H1350" s="151" t="str">
        <f t="shared" si="109"/>
        <v>1993/05/04</v>
      </c>
      <c r="I1350" s="150" t="s">
        <v>281</v>
      </c>
      <c r="J1350" s="150" t="s">
        <v>4798</v>
      </c>
      <c r="K1350" s="101" t="str">
        <f t="shared" si="105"/>
        <v>93</v>
      </c>
      <c r="L1350" s="101" t="str">
        <f t="shared" si="106"/>
        <v>05</v>
      </c>
      <c r="M1350" s="101" t="str">
        <f t="shared" si="107"/>
        <v>04</v>
      </c>
    </row>
    <row r="1351" spans="1:13">
      <c r="A1351" t="str">
        <f t="shared" si="108"/>
        <v>徳山大学3024女</v>
      </c>
      <c r="B1351" s="150" t="s">
        <v>1250</v>
      </c>
      <c r="C1351" s="150">
        <v>3024</v>
      </c>
      <c r="D1351" s="150" t="s">
        <v>4030</v>
      </c>
      <c r="E1351" s="150" t="s">
        <v>4424</v>
      </c>
      <c r="F1351" s="150" t="s">
        <v>260</v>
      </c>
      <c r="G1351" s="149" t="s">
        <v>840</v>
      </c>
      <c r="H1351" s="151" t="str">
        <f t="shared" si="109"/>
        <v>1993/10/15</v>
      </c>
      <c r="I1351" s="150" t="s">
        <v>281</v>
      </c>
      <c r="J1351" s="150" t="s">
        <v>327</v>
      </c>
      <c r="K1351" s="101" t="str">
        <f t="shared" si="105"/>
        <v>93</v>
      </c>
      <c r="L1351" s="101" t="str">
        <f t="shared" si="106"/>
        <v>10</v>
      </c>
      <c r="M1351" s="101" t="str">
        <f t="shared" si="107"/>
        <v>15</v>
      </c>
    </row>
    <row r="1352" spans="1:13">
      <c r="A1352" t="str">
        <f t="shared" si="108"/>
        <v>徳山大学3025女</v>
      </c>
      <c r="B1352" s="150" t="s">
        <v>1250</v>
      </c>
      <c r="C1352" s="150">
        <v>3025</v>
      </c>
      <c r="D1352" s="150" t="s">
        <v>4031</v>
      </c>
      <c r="E1352" s="150" t="s">
        <v>4425</v>
      </c>
      <c r="F1352" s="150" t="s">
        <v>265</v>
      </c>
      <c r="G1352" s="149" t="s">
        <v>840</v>
      </c>
      <c r="H1352" s="151" t="str">
        <f t="shared" si="109"/>
        <v>1994/10/15</v>
      </c>
      <c r="I1352" s="150" t="s">
        <v>290</v>
      </c>
      <c r="J1352" s="150" t="s">
        <v>3769</v>
      </c>
      <c r="K1352" s="101" t="str">
        <f t="shared" si="105"/>
        <v>94</v>
      </c>
      <c r="L1352" s="101" t="str">
        <f t="shared" si="106"/>
        <v>10</v>
      </c>
      <c r="M1352" s="101" t="str">
        <f t="shared" si="107"/>
        <v>15</v>
      </c>
    </row>
    <row r="1353" spans="1:13">
      <c r="A1353" t="str">
        <f t="shared" si="108"/>
        <v>徳山大学3026女</v>
      </c>
      <c r="B1353" s="150" t="s">
        <v>1250</v>
      </c>
      <c r="C1353" s="150">
        <v>3026</v>
      </c>
      <c r="D1353" s="150" t="s">
        <v>4032</v>
      </c>
      <c r="E1353" s="150" t="s">
        <v>4426</v>
      </c>
      <c r="F1353" s="150" t="s">
        <v>265</v>
      </c>
      <c r="G1353" s="149" t="s">
        <v>840</v>
      </c>
      <c r="H1353" s="151" t="str">
        <f t="shared" si="109"/>
        <v>1994/06/15</v>
      </c>
      <c r="I1353" s="150" t="s">
        <v>275</v>
      </c>
      <c r="J1353" s="150" t="s">
        <v>627</v>
      </c>
      <c r="K1353" s="101" t="str">
        <f t="shared" si="105"/>
        <v>94</v>
      </c>
      <c r="L1353" s="101" t="str">
        <f t="shared" si="106"/>
        <v>06</v>
      </c>
      <c r="M1353" s="101" t="str">
        <f t="shared" si="107"/>
        <v>15</v>
      </c>
    </row>
    <row r="1354" spans="1:13">
      <c r="A1354" t="str">
        <f t="shared" si="108"/>
        <v>徳山大学3027女</v>
      </c>
      <c r="B1354" s="150" t="s">
        <v>1250</v>
      </c>
      <c r="C1354" s="150">
        <v>3027</v>
      </c>
      <c r="D1354" s="150" t="s">
        <v>4033</v>
      </c>
      <c r="E1354" s="150" t="s">
        <v>4427</v>
      </c>
      <c r="F1354" s="150" t="s">
        <v>265</v>
      </c>
      <c r="G1354" s="149" t="s">
        <v>840</v>
      </c>
      <c r="H1354" s="151" t="str">
        <f t="shared" si="109"/>
        <v>1994/10/13</v>
      </c>
      <c r="I1354" s="150" t="s">
        <v>290</v>
      </c>
      <c r="J1354" s="150" t="s">
        <v>4799</v>
      </c>
      <c r="K1354" s="101" t="str">
        <f t="shared" si="105"/>
        <v>94</v>
      </c>
      <c r="L1354" s="101" t="str">
        <f t="shared" si="106"/>
        <v>10</v>
      </c>
      <c r="M1354" s="101" t="str">
        <f t="shared" si="107"/>
        <v>13</v>
      </c>
    </row>
    <row r="1355" spans="1:13">
      <c r="A1355" t="str">
        <f t="shared" si="108"/>
        <v>徳山大学3028女</v>
      </c>
      <c r="B1355" s="150" t="s">
        <v>1250</v>
      </c>
      <c r="C1355" s="150">
        <v>3028</v>
      </c>
      <c r="D1355" s="150" t="s">
        <v>4034</v>
      </c>
      <c r="E1355" s="150" t="s">
        <v>4428</v>
      </c>
      <c r="F1355" s="150" t="s">
        <v>265</v>
      </c>
      <c r="G1355" s="149" t="s">
        <v>840</v>
      </c>
      <c r="H1355" s="151" t="str">
        <f t="shared" si="109"/>
        <v>1995/03/06</v>
      </c>
      <c r="I1355" s="150" t="s">
        <v>295</v>
      </c>
      <c r="J1355" s="150" t="s">
        <v>3689</v>
      </c>
      <c r="K1355" s="101" t="str">
        <f t="shared" si="105"/>
        <v>95</v>
      </c>
      <c r="L1355" s="101" t="str">
        <f t="shared" si="106"/>
        <v>03</v>
      </c>
      <c r="M1355" s="101" t="str">
        <f t="shared" si="107"/>
        <v>06</v>
      </c>
    </row>
    <row r="1356" spans="1:13">
      <c r="A1356" t="str">
        <f t="shared" si="108"/>
        <v>徳山大学3029女</v>
      </c>
      <c r="B1356" s="150" t="s">
        <v>1250</v>
      </c>
      <c r="C1356" s="150">
        <v>3029</v>
      </c>
      <c r="D1356" s="150" t="s">
        <v>4035</v>
      </c>
      <c r="E1356" s="150" t="s">
        <v>4429</v>
      </c>
      <c r="F1356" s="150" t="s">
        <v>265</v>
      </c>
      <c r="G1356" s="149" t="s">
        <v>840</v>
      </c>
      <c r="H1356" s="151" t="str">
        <f t="shared" si="109"/>
        <v>1995/02/09</v>
      </c>
      <c r="I1356" s="150" t="s">
        <v>304</v>
      </c>
      <c r="J1356" s="150" t="s">
        <v>4800</v>
      </c>
      <c r="K1356" s="101" t="str">
        <f t="shared" si="105"/>
        <v>95</v>
      </c>
      <c r="L1356" s="101" t="str">
        <f t="shared" si="106"/>
        <v>02</v>
      </c>
      <c r="M1356" s="101" t="str">
        <f t="shared" si="107"/>
        <v>09</v>
      </c>
    </row>
    <row r="1357" spans="1:13">
      <c r="A1357" t="str">
        <f t="shared" si="108"/>
        <v>徳山大学3030女</v>
      </c>
      <c r="B1357" s="150" t="s">
        <v>1250</v>
      </c>
      <c r="C1357" s="150">
        <v>3030</v>
      </c>
      <c r="D1357" s="150" t="s">
        <v>4036</v>
      </c>
      <c r="E1357" s="150" t="s">
        <v>4430</v>
      </c>
      <c r="F1357" s="150" t="s">
        <v>265</v>
      </c>
      <c r="G1357" s="149" t="s">
        <v>840</v>
      </c>
      <c r="H1357" s="151" t="str">
        <f t="shared" si="109"/>
        <v>1995/02/09</v>
      </c>
      <c r="I1357" s="150" t="s">
        <v>304</v>
      </c>
      <c r="J1357" s="150" t="s">
        <v>4800</v>
      </c>
      <c r="K1357" s="101" t="str">
        <f t="shared" si="105"/>
        <v>95</v>
      </c>
      <c r="L1357" s="101" t="str">
        <f t="shared" si="106"/>
        <v>02</v>
      </c>
      <c r="M1357" s="101" t="str">
        <f t="shared" si="107"/>
        <v>09</v>
      </c>
    </row>
    <row r="1358" spans="1:13">
      <c r="A1358" t="str">
        <f t="shared" si="108"/>
        <v>徳山大学3031女</v>
      </c>
      <c r="B1358" s="150" t="s">
        <v>1250</v>
      </c>
      <c r="C1358" s="150">
        <v>3031</v>
      </c>
      <c r="D1358" s="150" t="s">
        <v>4037</v>
      </c>
      <c r="E1358" s="150" t="s">
        <v>4431</v>
      </c>
      <c r="F1358" s="150" t="s">
        <v>265</v>
      </c>
      <c r="G1358" s="149" t="s">
        <v>840</v>
      </c>
      <c r="H1358" s="151" t="str">
        <f t="shared" si="109"/>
        <v>1995/01/10</v>
      </c>
      <c r="I1358" s="150" t="s">
        <v>5</v>
      </c>
      <c r="J1358" s="150" t="s">
        <v>377</v>
      </c>
      <c r="K1358" s="101" t="str">
        <f t="shared" si="105"/>
        <v>95</v>
      </c>
      <c r="L1358" s="101" t="str">
        <f t="shared" si="106"/>
        <v>01</v>
      </c>
      <c r="M1358" s="101" t="str">
        <f t="shared" si="107"/>
        <v>10</v>
      </c>
    </row>
    <row r="1359" spans="1:13">
      <c r="A1359" t="str">
        <f t="shared" si="108"/>
        <v>徳山大学3032女</v>
      </c>
      <c r="B1359" s="150" t="s">
        <v>1250</v>
      </c>
      <c r="C1359" s="150">
        <v>3032</v>
      </c>
      <c r="D1359" s="150" t="s">
        <v>4038</v>
      </c>
      <c r="E1359" s="150" t="s">
        <v>4432</v>
      </c>
      <c r="F1359" s="150" t="s">
        <v>265</v>
      </c>
      <c r="G1359" s="149" t="s">
        <v>840</v>
      </c>
      <c r="H1359" s="151" t="str">
        <f t="shared" si="109"/>
        <v>1994/07/15</v>
      </c>
      <c r="I1359" s="150" t="s">
        <v>299</v>
      </c>
      <c r="J1359" s="150" t="s">
        <v>663</v>
      </c>
      <c r="K1359" s="101" t="str">
        <f t="shared" si="105"/>
        <v>94</v>
      </c>
      <c r="L1359" s="101" t="str">
        <f t="shared" si="106"/>
        <v>07</v>
      </c>
      <c r="M1359" s="101" t="str">
        <f t="shared" si="107"/>
        <v>15</v>
      </c>
    </row>
    <row r="1360" spans="1:13">
      <c r="A1360" t="str">
        <f t="shared" si="108"/>
        <v>徳山大学3033女</v>
      </c>
      <c r="B1360" s="150" t="s">
        <v>1250</v>
      </c>
      <c r="C1360" s="150">
        <v>3033</v>
      </c>
      <c r="D1360" s="150" t="s">
        <v>4039</v>
      </c>
      <c r="E1360" s="150" t="s">
        <v>4433</v>
      </c>
      <c r="F1360" s="150" t="s">
        <v>265</v>
      </c>
      <c r="G1360" s="149" t="s">
        <v>840</v>
      </c>
      <c r="H1360" s="151" t="str">
        <f t="shared" si="109"/>
        <v>1994/09/29</v>
      </c>
      <c r="I1360" s="150" t="s">
        <v>281</v>
      </c>
      <c r="J1360" s="150" t="s">
        <v>473</v>
      </c>
      <c r="K1360" s="101" t="str">
        <f t="shared" si="105"/>
        <v>94</v>
      </c>
      <c r="L1360" s="101" t="str">
        <f t="shared" si="106"/>
        <v>09</v>
      </c>
      <c r="M1360" s="101" t="str">
        <f t="shared" si="107"/>
        <v>29</v>
      </c>
    </row>
    <row r="1361" spans="1:13">
      <c r="A1361" t="str">
        <f t="shared" si="108"/>
        <v>徳山大学3034女</v>
      </c>
      <c r="B1361" s="150" t="s">
        <v>1250</v>
      </c>
      <c r="C1361" s="150">
        <v>3034</v>
      </c>
      <c r="D1361" s="150" t="s">
        <v>4040</v>
      </c>
      <c r="E1361" s="150" t="s">
        <v>4434</v>
      </c>
      <c r="F1361" s="150" t="s">
        <v>265</v>
      </c>
      <c r="G1361" s="149" t="s">
        <v>840</v>
      </c>
      <c r="H1361" s="151" t="str">
        <f t="shared" si="109"/>
        <v>1994/06/02</v>
      </c>
      <c r="I1361" s="150" t="s">
        <v>295</v>
      </c>
      <c r="J1361" s="150" t="s">
        <v>593</v>
      </c>
      <c r="K1361" s="101" t="str">
        <f t="shared" si="105"/>
        <v>94</v>
      </c>
      <c r="L1361" s="101" t="str">
        <f t="shared" si="106"/>
        <v>06</v>
      </c>
      <c r="M1361" s="101" t="str">
        <f t="shared" si="107"/>
        <v>02</v>
      </c>
    </row>
    <row r="1362" spans="1:13">
      <c r="A1362" t="str">
        <f t="shared" si="108"/>
        <v>徳山大学3035女</v>
      </c>
      <c r="B1362" s="150" t="s">
        <v>1250</v>
      </c>
      <c r="C1362" s="150">
        <v>3035</v>
      </c>
      <c r="D1362" s="150" t="s">
        <v>4041</v>
      </c>
      <c r="E1362" s="150" t="s">
        <v>4435</v>
      </c>
      <c r="F1362" s="150" t="s">
        <v>265</v>
      </c>
      <c r="G1362" s="149" t="s">
        <v>840</v>
      </c>
      <c r="H1362" s="151" t="str">
        <f t="shared" si="109"/>
        <v>1994/08/26</v>
      </c>
      <c r="I1362" s="150" t="s">
        <v>299</v>
      </c>
      <c r="J1362" s="150" t="s">
        <v>595</v>
      </c>
      <c r="K1362" s="101" t="str">
        <f t="shared" si="105"/>
        <v>94</v>
      </c>
      <c r="L1362" s="101" t="str">
        <f t="shared" si="106"/>
        <v>08</v>
      </c>
      <c r="M1362" s="101" t="str">
        <f t="shared" si="107"/>
        <v>26</v>
      </c>
    </row>
    <row r="1363" spans="1:13">
      <c r="A1363" t="str">
        <f t="shared" si="108"/>
        <v>徳山大学3036女</v>
      </c>
      <c r="B1363" s="150" t="s">
        <v>1250</v>
      </c>
      <c r="C1363" s="150">
        <v>3036</v>
      </c>
      <c r="D1363" s="150" t="s">
        <v>4042</v>
      </c>
      <c r="E1363" s="150" t="s">
        <v>4436</v>
      </c>
      <c r="F1363" s="150" t="s">
        <v>265</v>
      </c>
      <c r="G1363" s="149" t="s">
        <v>840</v>
      </c>
      <c r="H1363" s="151" t="str">
        <f t="shared" si="109"/>
        <v>1994/04/26</v>
      </c>
      <c r="I1363" s="150" t="s">
        <v>269</v>
      </c>
      <c r="J1363" s="150" t="s">
        <v>440</v>
      </c>
      <c r="K1363" s="101" t="str">
        <f t="shared" si="105"/>
        <v>94</v>
      </c>
      <c r="L1363" s="101" t="str">
        <f t="shared" si="106"/>
        <v>04</v>
      </c>
      <c r="M1363" s="101" t="str">
        <f t="shared" si="107"/>
        <v>26</v>
      </c>
    </row>
    <row r="1364" spans="1:13">
      <c r="A1364" t="str">
        <f t="shared" si="108"/>
        <v>徳山大学3037女</v>
      </c>
      <c r="B1364" s="150" t="s">
        <v>1250</v>
      </c>
      <c r="C1364" s="150">
        <v>3037</v>
      </c>
      <c r="D1364" s="150" t="s">
        <v>4043</v>
      </c>
      <c r="E1364" s="150" t="s">
        <v>4437</v>
      </c>
      <c r="F1364" s="150" t="s">
        <v>265</v>
      </c>
      <c r="G1364" s="149" t="s">
        <v>840</v>
      </c>
      <c r="H1364" s="151" t="str">
        <f t="shared" si="109"/>
        <v>1995/03/22</v>
      </c>
      <c r="I1364" s="150" t="s">
        <v>5</v>
      </c>
      <c r="J1364" s="150" t="s">
        <v>874</v>
      </c>
      <c r="K1364" s="101" t="str">
        <f t="shared" si="105"/>
        <v>95</v>
      </c>
      <c r="L1364" s="101" t="str">
        <f t="shared" si="106"/>
        <v>03</v>
      </c>
      <c r="M1364" s="101" t="str">
        <f t="shared" si="107"/>
        <v>22</v>
      </c>
    </row>
    <row r="1365" spans="1:13">
      <c r="A1365" t="str">
        <f t="shared" si="108"/>
        <v>徳山大学3038女</v>
      </c>
      <c r="B1365" s="150" t="s">
        <v>1250</v>
      </c>
      <c r="C1365" s="150">
        <v>3038</v>
      </c>
      <c r="D1365" s="150" t="s">
        <v>4044</v>
      </c>
      <c r="E1365" s="150" t="s">
        <v>4438</v>
      </c>
      <c r="F1365" s="150" t="s">
        <v>265</v>
      </c>
      <c r="G1365" s="149" t="s">
        <v>840</v>
      </c>
      <c r="H1365" s="151" t="str">
        <f t="shared" si="109"/>
        <v>1994/10/16</v>
      </c>
      <c r="I1365" s="150" t="s">
        <v>281</v>
      </c>
      <c r="J1365" s="150" t="s">
        <v>480</v>
      </c>
      <c r="K1365" s="101" t="str">
        <f t="shared" si="105"/>
        <v>94</v>
      </c>
      <c r="L1365" s="101" t="str">
        <f t="shared" si="106"/>
        <v>10</v>
      </c>
      <c r="M1365" s="101" t="str">
        <f t="shared" si="107"/>
        <v>16</v>
      </c>
    </row>
    <row r="1366" spans="1:13">
      <c r="A1366" t="str">
        <f t="shared" si="108"/>
        <v>徳山大学3039女</v>
      </c>
      <c r="B1366" s="150" t="s">
        <v>1250</v>
      </c>
      <c r="C1366" s="150">
        <v>3039</v>
      </c>
      <c r="D1366" s="150" t="s">
        <v>4045</v>
      </c>
      <c r="E1366" s="150" t="s">
        <v>4439</v>
      </c>
      <c r="F1366" s="150" t="s">
        <v>265</v>
      </c>
      <c r="G1366" s="149" t="s">
        <v>840</v>
      </c>
      <c r="H1366" s="151" t="str">
        <f t="shared" si="109"/>
        <v>1994/04/08</v>
      </c>
      <c r="I1366" s="150" t="s">
        <v>275</v>
      </c>
      <c r="J1366" s="150" t="s">
        <v>400</v>
      </c>
      <c r="K1366" s="101" t="str">
        <f t="shared" si="105"/>
        <v>94</v>
      </c>
      <c r="L1366" s="101" t="str">
        <f t="shared" si="106"/>
        <v>04</v>
      </c>
      <c r="M1366" s="101" t="str">
        <f t="shared" si="107"/>
        <v>08</v>
      </c>
    </row>
    <row r="1367" spans="1:13">
      <c r="A1367" t="str">
        <f t="shared" si="108"/>
        <v>徳山大学3040女</v>
      </c>
      <c r="B1367" s="150" t="s">
        <v>1250</v>
      </c>
      <c r="C1367" s="150">
        <v>3040</v>
      </c>
      <c r="D1367" s="150" t="s">
        <v>4046</v>
      </c>
      <c r="E1367" s="150" t="s">
        <v>4440</v>
      </c>
      <c r="F1367" s="150" t="s">
        <v>267</v>
      </c>
      <c r="G1367" s="149" t="s">
        <v>840</v>
      </c>
      <c r="H1367" s="151" t="str">
        <f t="shared" si="109"/>
        <v>1995/12/14</v>
      </c>
      <c r="I1367" s="150" t="s">
        <v>305</v>
      </c>
      <c r="J1367" s="150" t="s">
        <v>898</v>
      </c>
      <c r="K1367" s="101" t="str">
        <f t="shared" si="105"/>
        <v>95</v>
      </c>
      <c r="L1367" s="101" t="str">
        <f t="shared" si="106"/>
        <v>12</v>
      </c>
      <c r="M1367" s="101" t="str">
        <f t="shared" si="107"/>
        <v>14</v>
      </c>
    </row>
    <row r="1368" spans="1:13">
      <c r="A1368" t="str">
        <f t="shared" si="108"/>
        <v>徳山大学3041女</v>
      </c>
      <c r="B1368" s="150" t="s">
        <v>1250</v>
      </c>
      <c r="C1368" s="150">
        <v>3041</v>
      </c>
      <c r="D1368" s="150" t="s">
        <v>4047</v>
      </c>
      <c r="E1368" s="150" t="s">
        <v>4441</v>
      </c>
      <c r="F1368" s="150" t="s">
        <v>267</v>
      </c>
      <c r="G1368" s="149" t="s">
        <v>840</v>
      </c>
      <c r="H1368" s="151" t="str">
        <f t="shared" si="109"/>
        <v>1996/01/04</v>
      </c>
      <c r="I1368" s="150" t="s">
        <v>5</v>
      </c>
      <c r="J1368" s="150" t="s">
        <v>4801</v>
      </c>
      <c r="K1368" s="101" t="str">
        <f t="shared" si="105"/>
        <v>96</v>
      </c>
      <c r="L1368" s="101" t="str">
        <f t="shared" si="106"/>
        <v>01</v>
      </c>
      <c r="M1368" s="101" t="str">
        <f t="shared" si="107"/>
        <v>04</v>
      </c>
    </row>
    <row r="1369" spans="1:13">
      <c r="A1369" t="str">
        <f t="shared" si="108"/>
        <v>徳山大学3042女</v>
      </c>
      <c r="B1369" s="150" t="s">
        <v>1250</v>
      </c>
      <c r="C1369" s="150">
        <v>3042</v>
      </c>
      <c r="D1369" s="150" t="s">
        <v>4048</v>
      </c>
      <c r="E1369" s="150" t="s">
        <v>4442</v>
      </c>
      <c r="F1369" s="150" t="s">
        <v>267</v>
      </c>
      <c r="G1369" s="149" t="s">
        <v>840</v>
      </c>
      <c r="H1369" s="151" t="str">
        <f t="shared" si="109"/>
        <v>1996/03/07</v>
      </c>
      <c r="I1369" s="150" t="s">
        <v>263</v>
      </c>
      <c r="J1369" s="150" t="s">
        <v>4802</v>
      </c>
      <c r="K1369" s="101" t="str">
        <f t="shared" si="105"/>
        <v>96</v>
      </c>
      <c r="L1369" s="101" t="str">
        <f t="shared" si="106"/>
        <v>03</v>
      </c>
      <c r="M1369" s="101" t="str">
        <f t="shared" si="107"/>
        <v>07</v>
      </c>
    </row>
    <row r="1370" spans="1:13">
      <c r="A1370" t="str">
        <f t="shared" si="108"/>
        <v>徳山大学3043女</v>
      </c>
      <c r="B1370" s="150" t="s">
        <v>1250</v>
      </c>
      <c r="C1370" s="150">
        <v>3043</v>
      </c>
      <c r="D1370" s="150" t="s">
        <v>4049</v>
      </c>
      <c r="E1370" s="150" t="s">
        <v>4443</v>
      </c>
      <c r="F1370" s="150" t="s">
        <v>267</v>
      </c>
      <c r="G1370" s="149" t="s">
        <v>840</v>
      </c>
      <c r="H1370" s="151" t="str">
        <f t="shared" si="109"/>
        <v>1995/12/08</v>
      </c>
      <c r="I1370" s="150" t="s">
        <v>275</v>
      </c>
      <c r="J1370" s="150" t="s">
        <v>871</v>
      </c>
      <c r="K1370" s="101" t="str">
        <f t="shared" si="105"/>
        <v>95</v>
      </c>
      <c r="L1370" s="101" t="str">
        <f t="shared" si="106"/>
        <v>12</v>
      </c>
      <c r="M1370" s="101" t="str">
        <f t="shared" si="107"/>
        <v>08</v>
      </c>
    </row>
    <row r="1371" spans="1:13">
      <c r="A1371" t="str">
        <f t="shared" si="108"/>
        <v>徳山大学3044女</v>
      </c>
      <c r="B1371" s="150" t="s">
        <v>1250</v>
      </c>
      <c r="C1371" s="150">
        <v>3044</v>
      </c>
      <c r="D1371" s="150" t="s">
        <v>4050</v>
      </c>
      <c r="E1371" s="150" t="s">
        <v>4444</v>
      </c>
      <c r="F1371" s="150" t="s">
        <v>267</v>
      </c>
      <c r="G1371" s="149" t="s">
        <v>840</v>
      </c>
      <c r="H1371" s="151" t="str">
        <f t="shared" si="109"/>
        <v>1995/04/18</v>
      </c>
      <c r="I1371" s="150" t="s">
        <v>278</v>
      </c>
      <c r="J1371" s="150" t="s">
        <v>3632</v>
      </c>
      <c r="K1371" s="101" t="str">
        <f t="shared" si="105"/>
        <v>95</v>
      </c>
      <c r="L1371" s="101" t="str">
        <f t="shared" si="106"/>
        <v>04</v>
      </c>
      <c r="M1371" s="101" t="str">
        <f t="shared" si="107"/>
        <v>18</v>
      </c>
    </row>
    <row r="1372" spans="1:13">
      <c r="A1372" t="str">
        <f t="shared" si="108"/>
        <v>徳山大学3045女</v>
      </c>
      <c r="B1372" s="150" t="s">
        <v>1250</v>
      </c>
      <c r="C1372" s="150">
        <v>3045</v>
      </c>
      <c r="D1372" s="150" t="s">
        <v>4051</v>
      </c>
      <c r="E1372" s="150" t="s">
        <v>4445</v>
      </c>
      <c r="F1372" s="150" t="s">
        <v>267</v>
      </c>
      <c r="G1372" s="149" t="s">
        <v>840</v>
      </c>
      <c r="H1372" s="151" t="str">
        <f t="shared" si="109"/>
        <v>1996/01/14</v>
      </c>
      <c r="I1372" s="150" t="s">
        <v>263</v>
      </c>
      <c r="J1372" s="150" t="s">
        <v>875</v>
      </c>
      <c r="K1372" s="101" t="str">
        <f t="shared" si="105"/>
        <v>96</v>
      </c>
      <c r="L1372" s="101" t="str">
        <f t="shared" si="106"/>
        <v>01</v>
      </c>
      <c r="M1372" s="101" t="str">
        <f t="shared" si="107"/>
        <v>14</v>
      </c>
    </row>
    <row r="1373" spans="1:13">
      <c r="A1373" t="str">
        <f t="shared" si="108"/>
        <v>徳山大学3046女</v>
      </c>
      <c r="B1373" s="150" t="s">
        <v>1250</v>
      </c>
      <c r="C1373" s="150">
        <v>3046</v>
      </c>
      <c r="D1373" s="150" t="s">
        <v>4052</v>
      </c>
      <c r="E1373" s="150" t="s">
        <v>4446</v>
      </c>
      <c r="F1373" s="150" t="s">
        <v>267</v>
      </c>
      <c r="G1373" s="149" t="s">
        <v>840</v>
      </c>
      <c r="H1373" s="151" t="str">
        <f t="shared" si="109"/>
        <v>1995/06/01</v>
      </c>
      <c r="I1373" s="150" t="s">
        <v>281</v>
      </c>
      <c r="J1373" s="150" t="s">
        <v>421</v>
      </c>
      <c r="K1373" s="101" t="str">
        <f t="shared" si="105"/>
        <v>95</v>
      </c>
      <c r="L1373" s="101" t="str">
        <f t="shared" si="106"/>
        <v>06</v>
      </c>
      <c r="M1373" s="101" t="str">
        <f t="shared" si="107"/>
        <v>01</v>
      </c>
    </row>
    <row r="1374" spans="1:13">
      <c r="A1374" t="str">
        <f t="shared" si="108"/>
        <v>徳山大学3047女</v>
      </c>
      <c r="B1374" s="150" t="s">
        <v>1250</v>
      </c>
      <c r="C1374" s="150">
        <v>3047</v>
      </c>
      <c r="D1374" s="150" t="s">
        <v>4053</v>
      </c>
      <c r="E1374" s="150" t="s">
        <v>4447</v>
      </c>
      <c r="F1374" s="150" t="s">
        <v>267</v>
      </c>
      <c r="G1374" s="149" t="s">
        <v>840</v>
      </c>
      <c r="H1374" s="151" t="str">
        <f t="shared" si="109"/>
        <v>1995/04/29</v>
      </c>
      <c r="I1374" s="150" t="s">
        <v>269</v>
      </c>
      <c r="J1374" s="150" t="s">
        <v>3918</v>
      </c>
      <c r="K1374" s="101" t="str">
        <f t="shared" si="105"/>
        <v>95</v>
      </c>
      <c r="L1374" s="101" t="str">
        <f t="shared" si="106"/>
        <v>04</v>
      </c>
      <c r="M1374" s="101" t="str">
        <f t="shared" si="107"/>
        <v>29</v>
      </c>
    </row>
    <row r="1375" spans="1:13">
      <c r="A1375" t="str">
        <f t="shared" si="108"/>
        <v>徳山大学3048女</v>
      </c>
      <c r="B1375" s="150" t="s">
        <v>1250</v>
      </c>
      <c r="C1375" s="150">
        <v>3048</v>
      </c>
      <c r="D1375" s="150" t="s">
        <v>4054</v>
      </c>
      <c r="E1375" s="150" t="s">
        <v>4448</v>
      </c>
      <c r="F1375" s="150" t="s">
        <v>267</v>
      </c>
      <c r="G1375" s="149" t="s">
        <v>840</v>
      </c>
      <c r="H1375" s="151" t="str">
        <f t="shared" si="109"/>
        <v>1995/09/30</v>
      </c>
      <c r="I1375" s="150" t="s">
        <v>281</v>
      </c>
      <c r="J1375" s="150" t="s">
        <v>4803</v>
      </c>
      <c r="K1375" s="101" t="str">
        <f t="shared" si="105"/>
        <v>95</v>
      </c>
      <c r="L1375" s="101" t="str">
        <f t="shared" si="106"/>
        <v>09</v>
      </c>
      <c r="M1375" s="101" t="str">
        <f t="shared" si="107"/>
        <v>30</v>
      </c>
    </row>
    <row r="1376" spans="1:13">
      <c r="A1376" t="str">
        <f t="shared" si="108"/>
        <v>山口大学3049女</v>
      </c>
      <c r="B1376" s="150" t="s">
        <v>1311</v>
      </c>
      <c r="C1376" s="150">
        <v>3049</v>
      </c>
      <c r="D1376" s="150" t="s">
        <v>4055</v>
      </c>
      <c r="E1376" s="150" t="s">
        <v>4449</v>
      </c>
      <c r="F1376" s="150" t="s">
        <v>267</v>
      </c>
      <c r="G1376" s="149" t="s">
        <v>840</v>
      </c>
      <c r="H1376" s="151" t="str">
        <f t="shared" si="109"/>
        <v>1995/07/16</v>
      </c>
      <c r="I1376" s="150" t="s">
        <v>269</v>
      </c>
      <c r="J1376" s="150" t="s">
        <v>361</v>
      </c>
      <c r="K1376" s="101" t="str">
        <f t="shared" si="105"/>
        <v>95</v>
      </c>
      <c r="L1376" s="101" t="str">
        <f t="shared" si="106"/>
        <v>07</v>
      </c>
      <c r="M1376" s="101" t="str">
        <f t="shared" si="107"/>
        <v>16</v>
      </c>
    </row>
    <row r="1377" spans="1:13">
      <c r="A1377" t="str">
        <f t="shared" si="108"/>
        <v>山口大学3050女</v>
      </c>
      <c r="B1377" s="150" t="s">
        <v>1311</v>
      </c>
      <c r="C1377" s="150">
        <v>3050</v>
      </c>
      <c r="D1377" s="150" t="s">
        <v>4056</v>
      </c>
      <c r="E1377" s="150" t="s">
        <v>4450</v>
      </c>
      <c r="F1377" s="150" t="s">
        <v>265</v>
      </c>
      <c r="G1377" s="149" t="s">
        <v>840</v>
      </c>
      <c r="H1377" s="151" t="str">
        <f t="shared" si="109"/>
        <v>1994/06/10</v>
      </c>
      <c r="I1377" s="150" t="s">
        <v>269</v>
      </c>
      <c r="J1377" s="150" t="s">
        <v>686</v>
      </c>
      <c r="K1377" s="101" t="str">
        <f t="shared" si="105"/>
        <v>94</v>
      </c>
      <c r="L1377" s="101" t="str">
        <f t="shared" si="106"/>
        <v>06</v>
      </c>
      <c r="M1377" s="101" t="str">
        <f t="shared" si="107"/>
        <v>10</v>
      </c>
    </row>
    <row r="1378" spans="1:13">
      <c r="A1378" t="str">
        <f t="shared" si="108"/>
        <v>山口大学3051女</v>
      </c>
      <c r="B1378" s="150" t="s">
        <v>1311</v>
      </c>
      <c r="C1378" s="150">
        <v>3051</v>
      </c>
      <c r="D1378" s="150" t="s">
        <v>4057</v>
      </c>
      <c r="E1378" s="150" t="s">
        <v>4451</v>
      </c>
      <c r="F1378" s="150" t="s">
        <v>265</v>
      </c>
      <c r="G1378" s="149" t="s">
        <v>840</v>
      </c>
      <c r="H1378" s="151" t="str">
        <f t="shared" si="109"/>
        <v>1994/06/17</v>
      </c>
      <c r="I1378" s="150" t="s">
        <v>269</v>
      </c>
      <c r="J1378" s="150" t="s">
        <v>464</v>
      </c>
      <c r="K1378" s="101" t="str">
        <f t="shared" ref="K1378:K1441" si="110">MID(J1378,1,2)</f>
        <v>94</v>
      </c>
      <c r="L1378" s="101" t="str">
        <f t="shared" ref="L1378:L1441" si="111">MID(J1378,3,2)</f>
        <v>06</v>
      </c>
      <c r="M1378" s="101" t="str">
        <f t="shared" ref="M1378:M1441" si="112">MID(J1378,5,2)</f>
        <v>17</v>
      </c>
    </row>
    <row r="1379" spans="1:13">
      <c r="A1379" t="str">
        <f t="shared" si="108"/>
        <v>ノートルダム清心女子大学3052女</v>
      </c>
      <c r="B1379" s="150" t="s">
        <v>4006</v>
      </c>
      <c r="C1379" s="150">
        <v>3052</v>
      </c>
      <c r="D1379" s="150" t="s">
        <v>4058</v>
      </c>
      <c r="E1379" s="150" t="s">
        <v>4452</v>
      </c>
      <c r="F1379" s="150" t="s">
        <v>265</v>
      </c>
      <c r="G1379" s="149" t="s">
        <v>840</v>
      </c>
      <c r="H1379" s="151" t="str">
        <f t="shared" si="109"/>
        <v>1994/04/25</v>
      </c>
      <c r="I1379" s="150" t="s">
        <v>299</v>
      </c>
      <c r="J1379" s="150" t="s">
        <v>436</v>
      </c>
      <c r="K1379" s="101" t="str">
        <f t="shared" si="110"/>
        <v>94</v>
      </c>
      <c r="L1379" s="101" t="str">
        <f t="shared" si="111"/>
        <v>04</v>
      </c>
      <c r="M1379" s="101" t="str">
        <f t="shared" si="112"/>
        <v>25</v>
      </c>
    </row>
    <row r="1380" spans="1:13">
      <c r="A1380" t="str">
        <f t="shared" si="108"/>
        <v>ノートルダム清心女子大学3053女</v>
      </c>
      <c r="B1380" s="150" t="s">
        <v>4006</v>
      </c>
      <c r="C1380" s="150">
        <v>3053</v>
      </c>
      <c r="D1380" s="150" t="s">
        <v>4059</v>
      </c>
      <c r="E1380" s="150" t="s">
        <v>4453</v>
      </c>
      <c r="F1380" s="150" t="s">
        <v>265</v>
      </c>
      <c r="G1380" s="149" t="s">
        <v>840</v>
      </c>
      <c r="H1380" s="151" t="str">
        <f t="shared" si="109"/>
        <v>1994/04/25</v>
      </c>
      <c r="I1380" s="150" t="s">
        <v>299</v>
      </c>
      <c r="J1380" s="150" t="s">
        <v>436</v>
      </c>
      <c r="K1380" s="101" t="str">
        <f t="shared" si="110"/>
        <v>94</v>
      </c>
      <c r="L1380" s="101" t="str">
        <f t="shared" si="111"/>
        <v>04</v>
      </c>
      <c r="M1380" s="101" t="str">
        <f t="shared" si="112"/>
        <v>25</v>
      </c>
    </row>
    <row r="1381" spans="1:13">
      <c r="A1381" t="str">
        <f t="shared" si="108"/>
        <v>ノートルダム清心女子大学3054女</v>
      </c>
      <c r="B1381" s="150" t="s">
        <v>4006</v>
      </c>
      <c r="C1381" s="150">
        <v>3054</v>
      </c>
      <c r="D1381" s="150" t="s">
        <v>4060</v>
      </c>
      <c r="E1381" s="150" t="s">
        <v>4454</v>
      </c>
      <c r="F1381" s="150" t="s">
        <v>267</v>
      </c>
      <c r="G1381" s="149" t="s">
        <v>840</v>
      </c>
      <c r="H1381" s="151" t="str">
        <f t="shared" si="109"/>
        <v>1996/01/21</v>
      </c>
      <c r="I1381" s="150" t="s">
        <v>299</v>
      </c>
      <c r="J1381" s="150" t="s">
        <v>426</v>
      </c>
      <c r="K1381" s="101" t="str">
        <f t="shared" si="110"/>
        <v>96</v>
      </c>
      <c r="L1381" s="101" t="str">
        <f t="shared" si="111"/>
        <v>01</v>
      </c>
      <c r="M1381" s="101" t="str">
        <f t="shared" si="112"/>
        <v>21</v>
      </c>
    </row>
    <row r="1382" spans="1:13">
      <c r="A1382" t="str">
        <f t="shared" si="108"/>
        <v>ノートルダム清心女子大学3055女</v>
      </c>
      <c r="B1382" s="150" t="s">
        <v>4006</v>
      </c>
      <c r="C1382" s="150">
        <v>3055</v>
      </c>
      <c r="D1382" s="150" t="s">
        <v>4061</v>
      </c>
      <c r="E1382" s="150" t="s">
        <v>4455</v>
      </c>
      <c r="F1382" s="150" t="s">
        <v>267</v>
      </c>
      <c r="G1382" s="149" t="s">
        <v>840</v>
      </c>
      <c r="H1382" s="151" t="str">
        <f t="shared" si="109"/>
        <v>1995/11/21</v>
      </c>
      <c r="I1382" s="150" t="s">
        <v>299</v>
      </c>
      <c r="J1382" s="150" t="s">
        <v>612</v>
      </c>
      <c r="K1382" s="101" t="str">
        <f t="shared" si="110"/>
        <v>95</v>
      </c>
      <c r="L1382" s="101" t="str">
        <f t="shared" si="111"/>
        <v>11</v>
      </c>
      <c r="M1382" s="101" t="str">
        <f t="shared" si="112"/>
        <v>21</v>
      </c>
    </row>
    <row r="1383" spans="1:13">
      <c r="A1383" t="str">
        <f t="shared" si="108"/>
        <v>福山大学3056女</v>
      </c>
      <c r="B1383" s="150" t="s">
        <v>1342</v>
      </c>
      <c r="C1383" s="150">
        <v>3056</v>
      </c>
      <c r="D1383" s="150" t="s">
        <v>4062</v>
      </c>
      <c r="E1383" s="150" t="s">
        <v>4456</v>
      </c>
      <c r="F1383" s="150" t="s">
        <v>265</v>
      </c>
      <c r="G1383" s="149" t="s">
        <v>840</v>
      </c>
      <c r="H1383" s="151" t="str">
        <f t="shared" si="109"/>
        <v>1994/05/15</v>
      </c>
      <c r="I1383" s="150" t="s">
        <v>295</v>
      </c>
      <c r="J1383" s="150" t="s">
        <v>867</v>
      </c>
      <c r="K1383" s="101" t="str">
        <f t="shared" si="110"/>
        <v>94</v>
      </c>
      <c r="L1383" s="101" t="str">
        <f t="shared" si="111"/>
        <v>05</v>
      </c>
      <c r="M1383" s="101" t="str">
        <f t="shared" si="112"/>
        <v>15</v>
      </c>
    </row>
    <row r="1384" spans="1:13">
      <c r="A1384" t="str">
        <f t="shared" si="108"/>
        <v>福山大学3057女</v>
      </c>
      <c r="B1384" s="150" t="s">
        <v>1342</v>
      </c>
      <c r="C1384" s="150">
        <v>3057</v>
      </c>
      <c r="D1384" s="150" t="s">
        <v>4063</v>
      </c>
      <c r="E1384" s="150" t="s">
        <v>4457</v>
      </c>
      <c r="F1384" s="150" t="s">
        <v>267</v>
      </c>
      <c r="G1384" s="149" t="s">
        <v>840</v>
      </c>
      <c r="H1384" s="151" t="str">
        <f t="shared" si="109"/>
        <v>1996/01/15</v>
      </c>
      <c r="I1384" s="150" t="s">
        <v>295</v>
      </c>
      <c r="J1384" s="150" t="s">
        <v>603</v>
      </c>
      <c r="K1384" s="101" t="str">
        <f t="shared" si="110"/>
        <v>96</v>
      </c>
      <c r="L1384" s="101" t="str">
        <f t="shared" si="111"/>
        <v>01</v>
      </c>
      <c r="M1384" s="101" t="str">
        <f t="shared" si="112"/>
        <v>15</v>
      </c>
    </row>
    <row r="1385" spans="1:13">
      <c r="A1385" t="str">
        <f t="shared" si="108"/>
        <v>福山大学3058女</v>
      </c>
      <c r="B1385" s="150" t="s">
        <v>1342</v>
      </c>
      <c r="C1385" s="150">
        <v>3058</v>
      </c>
      <c r="D1385" s="150" t="s">
        <v>4064</v>
      </c>
      <c r="E1385" s="150" t="s">
        <v>4458</v>
      </c>
      <c r="F1385" s="150" t="s">
        <v>267</v>
      </c>
      <c r="G1385" s="149" t="s">
        <v>840</v>
      </c>
      <c r="H1385" s="151" t="str">
        <f t="shared" si="109"/>
        <v>1996/03/09</v>
      </c>
      <c r="I1385" s="150" t="s">
        <v>295</v>
      </c>
      <c r="J1385" s="150" t="s">
        <v>858</v>
      </c>
      <c r="K1385" s="101" t="str">
        <f t="shared" si="110"/>
        <v>96</v>
      </c>
      <c r="L1385" s="101" t="str">
        <f t="shared" si="111"/>
        <v>03</v>
      </c>
      <c r="M1385" s="101" t="str">
        <f t="shared" si="112"/>
        <v>09</v>
      </c>
    </row>
    <row r="1386" spans="1:13">
      <c r="A1386" t="str">
        <f t="shared" si="108"/>
        <v>広島大学3059女</v>
      </c>
      <c r="B1386" s="150" t="s">
        <v>1364</v>
      </c>
      <c r="C1386" s="150">
        <v>3059</v>
      </c>
      <c r="D1386" s="150" t="s">
        <v>4065</v>
      </c>
      <c r="E1386" s="150" t="s">
        <v>4459</v>
      </c>
      <c r="F1386" s="150" t="s">
        <v>4859</v>
      </c>
      <c r="G1386" s="149" t="s">
        <v>840</v>
      </c>
      <c r="H1386" s="151" t="str">
        <f t="shared" si="109"/>
        <v>1992/07/28</v>
      </c>
      <c r="I1386" s="150" t="s">
        <v>289</v>
      </c>
      <c r="J1386" s="150" t="s">
        <v>801</v>
      </c>
      <c r="K1386" s="101" t="str">
        <f t="shared" si="110"/>
        <v>92</v>
      </c>
      <c r="L1386" s="101" t="str">
        <f t="shared" si="111"/>
        <v>07</v>
      </c>
      <c r="M1386" s="101" t="str">
        <f t="shared" si="112"/>
        <v>28</v>
      </c>
    </row>
    <row r="1387" spans="1:13">
      <c r="A1387" t="str">
        <f t="shared" si="108"/>
        <v>広島大学3060女</v>
      </c>
      <c r="B1387" s="150" t="s">
        <v>1364</v>
      </c>
      <c r="C1387" s="150">
        <v>3060</v>
      </c>
      <c r="D1387" s="150" t="s">
        <v>4066</v>
      </c>
      <c r="E1387" s="150" t="s">
        <v>4460</v>
      </c>
      <c r="F1387" s="150" t="s">
        <v>260</v>
      </c>
      <c r="G1387" s="149" t="s">
        <v>840</v>
      </c>
      <c r="H1387" s="151" t="str">
        <f t="shared" si="109"/>
        <v>1993/04/28</v>
      </c>
      <c r="I1387" s="150" t="s">
        <v>295</v>
      </c>
      <c r="J1387" s="150" t="s">
        <v>323</v>
      </c>
      <c r="K1387" s="101" t="str">
        <f t="shared" si="110"/>
        <v>93</v>
      </c>
      <c r="L1387" s="101" t="str">
        <f t="shared" si="111"/>
        <v>04</v>
      </c>
      <c r="M1387" s="101" t="str">
        <f t="shared" si="112"/>
        <v>28</v>
      </c>
    </row>
    <row r="1388" spans="1:13">
      <c r="A1388" t="str">
        <f t="shared" si="108"/>
        <v>広島大学3061女</v>
      </c>
      <c r="B1388" s="150" t="s">
        <v>1364</v>
      </c>
      <c r="C1388" s="150">
        <v>3061</v>
      </c>
      <c r="D1388" s="150" t="s">
        <v>4067</v>
      </c>
      <c r="E1388" s="150" t="s">
        <v>4461</v>
      </c>
      <c r="F1388" s="150" t="s">
        <v>260</v>
      </c>
      <c r="G1388" s="149" t="s">
        <v>840</v>
      </c>
      <c r="H1388" s="151" t="str">
        <f t="shared" si="109"/>
        <v>1993/12/14</v>
      </c>
      <c r="I1388" s="150" t="s">
        <v>269</v>
      </c>
      <c r="J1388" s="150" t="s">
        <v>515</v>
      </c>
      <c r="K1388" s="101" t="str">
        <f t="shared" si="110"/>
        <v>93</v>
      </c>
      <c r="L1388" s="101" t="str">
        <f t="shared" si="111"/>
        <v>12</v>
      </c>
      <c r="M1388" s="101" t="str">
        <f t="shared" si="112"/>
        <v>14</v>
      </c>
    </row>
    <row r="1389" spans="1:13">
      <c r="A1389" t="str">
        <f t="shared" si="108"/>
        <v>広島大学3062女</v>
      </c>
      <c r="B1389" s="150" t="s">
        <v>1364</v>
      </c>
      <c r="C1389" s="150">
        <v>3062</v>
      </c>
      <c r="D1389" s="150" t="s">
        <v>4068</v>
      </c>
      <c r="E1389" s="150" t="s">
        <v>4462</v>
      </c>
      <c r="F1389" s="150" t="s">
        <v>265</v>
      </c>
      <c r="G1389" s="149" t="s">
        <v>840</v>
      </c>
      <c r="H1389" s="151" t="str">
        <f t="shared" si="109"/>
        <v>1995/02/07</v>
      </c>
      <c r="I1389" s="150" t="s">
        <v>289</v>
      </c>
      <c r="J1389" s="150" t="s">
        <v>468</v>
      </c>
      <c r="K1389" s="101" t="str">
        <f t="shared" si="110"/>
        <v>95</v>
      </c>
      <c r="L1389" s="101" t="str">
        <f t="shared" si="111"/>
        <v>02</v>
      </c>
      <c r="M1389" s="101" t="str">
        <f t="shared" si="112"/>
        <v>07</v>
      </c>
    </row>
    <row r="1390" spans="1:13">
      <c r="A1390" t="str">
        <f t="shared" si="108"/>
        <v>広島大学3063女</v>
      </c>
      <c r="B1390" s="150" t="s">
        <v>1364</v>
      </c>
      <c r="C1390" s="150">
        <v>3063</v>
      </c>
      <c r="D1390" s="150" t="s">
        <v>4069</v>
      </c>
      <c r="E1390" s="150" t="s">
        <v>4463</v>
      </c>
      <c r="F1390" s="150" t="s">
        <v>265</v>
      </c>
      <c r="G1390" s="149" t="s">
        <v>840</v>
      </c>
      <c r="H1390" s="151" t="str">
        <f t="shared" si="109"/>
        <v>1994/04/10</v>
      </c>
      <c r="I1390" s="150" t="s">
        <v>295</v>
      </c>
      <c r="J1390" s="150" t="s">
        <v>3775</v>
      </c>
      <c r="K1390" s="101" t="str">
        <f t="shared" si="110"/>
        <v>94</v>
      </c>
      <c r="L1390" s="101" t="str">
        <f t="shared" si="111"/>
        <v>04</v>
      </c>
      <c r="M1390" s="101" t="str">
        <f t="shared" si="112"/>
        <v>10</v>
      </c>
    </row>
    <row r="1391" spans="1:13">
      <c r="A1391" t="str">
        <f t="shared" si="108"/>
        <v>広島大学3064女</v>
      </c>
      <c r="B1391" s="150" t="s">
        <v>1364</v>
      </c>
      <c r="C1391" s="150">
        <v>3064</v>
      </c>
      <c r="D1391" s="150" t="s">
        <v>4070</v>
      </c>
      <c r="E1391" s="150" t="s">
        <v>4464</v>
      </c>
      <c r="F1391" s="150" t="s">
        <v>265</v>
      </c>
      <c r="G1391" s="149" t="s">
        <v>840</v>
      </c>
      <c r="H1391" s="151" t="str">
        <f t="shared" si="109"/>
        <v>1994/07/20</v>
      </c>
      <c r="I1391" s="150" t="s">
        <v>295</v>
      </c>
      <c r="J1391" s="150" t="s">
        <v>844</v>
      </c>
      <c r="K1391" s="101" t="str">
        <f t="shared" si="110"/>
        <v>94</v>
      </c>
      <c r="L1391" s="101" t="str">
        <f t="shared" si="111"/>
        <v>07</v>
      </c>
      <c r="M1391" s="101" t="str">
        <f t="shared" si="112"/>
        <v>20</v>
      </c>
    </row>
    <row r="1392" spans="1:13">
      <c r="A1392" t="str">
        <f t="shared" si="108"/>
        <v>広島大学3065女</v>
      </c>
      <c r="B1392" s="150" t="s">
        <v>1364</v>
      </c>
      <c r="C1392" s="150">
        <v>3065</v>
      </c>
      <c r="D1392" s="150" t="s">
        <v>4071</v>
      </c>
      <c r="E1392" s="150" t="s">
        <v>4465</v>
      </c>
      <c r="F1392" s="150" t="s">
        <v>265</v>
      </c>
      <c r="G1392" s="149" t="s">
        <v>840</v>
      </c>
      <c r="H1392" s="151" t="str">
        <f t="shared" si="109"/>
        <v>1994/11/25</v>
      </c>
      <c r="I1392" s="150" t="s">
        <v>295</v>
      </c>
      <c r="J1392" s="150" t="s">
        <v>784</v>
      </c>
      <c r="K1392" s="101" t="str">
        <f t="shared" si="110"/>
        <v>94</v>
      </c>
      <c r="L1392" s="101" t="str">
        <f t="shared" si="111"/>
        <v>11</v>
      </c>
      <c r="M1392" s="101" t="str">
        <f t="shared" si="112"/>
        <v>25</v>
      </c>
    </row>
    <row r="1393" spans="1:13">
      <c r="A1393" t="str">
        <f t="shared" si="108"/>
        <v>広島大学3066女</v>
      </c>
      <c r="B1393" s="150" t="s">
        <v>1364</v>
      </c>
      <c r="C1393" s="150">
        <v>3066</v>
      </c>
      <c r="D1393" s="150" t="s">
        <v>4072</v>
      </c>
      <c r="E1393" s="150" t="s">
        <v>4466</v>
      </c>
      <c r="F1393" s="150" t="s">
        <v>265</v>
      </c>
      <c r="G1393" s="149" t="s">
        <v>840</v>
      </c>
      <c r="H1393" s="151" t="str">
        <f t="shared" si="109"/>
        <v>1994/10/27</v>
      </c>
      <c r="I1393" s="150" t="s">
        <v>295</v>
      </c>
      <c r="J1393" s="150" t="s">
        <v>3758</v>
      </c>
      <c r="K1393" s="101" t="str">
        <f t="shared" si="110"/>
        <v>94</v>
      </c>
      <c r="L1393" s="101" t="str">
        <f t="shared" si="111"/>
        <v>10</v>
      </c>
      <c r="M1393" s="101" t="str">
        <f t="shared" si="112"/>
        <v>27</v>
      </c>
    </row>
    <row r="1394" spans="1:13">
      <c r="A1394" t="str">
        <f t="shared" si="108"/>
        <v>広島大学3067女</v>
      </c>
      <c r="B1394" s="150" t="s">
        <v>1364</v>
      </c>
      <c r="C1394" s="150">
        <v>3067</v>
      </c>
      <c r="D1394" s="150" t="s">
        <v>4073</v>
      </c>
      <c r="E1394" s="150" t="s">
        <v>4467</v>
      </c>
      <c r="F1394" s="150" t="s">
        <v>265</v>
      </c>
      <c r="G1394" s="149" t="s">
        <v>840</v>
      </c>
      <c r="H1394" s="151" t="str">
        <f t="shared" si="109"/>
        <v>1995/02/17</v>
      </c>
      <c r="I1394" s="150" t="s">
        <v>295</v>
      </c>
      <c r="J1394" s="150" t="s">
        <v>373</v>
      </c>
      <c r="K1394" s="101" t="str">
        <f t="shared" si="110"/>
        <v>95</v>
      </c>
      <c r="L1394" s="101" t="str">
        <f t="shared" si="111"/>
        <v>02</v>
      </c>
      <c r="M1394" s="101" t="str">
        <f t="shared" si="112"/>
        <v>17</v>
      </c>
    </row>
    <row r="1395" spans="1:13">
      <c r="A1395" t="str">
        <f t="shared" si="108"/>
        <v>広島大学3068女</v>
      </c>
      <c r="B1395" s="150" t="s">
        <v>1364</v>
      </c>
      <c r="C1395" s="150">
        <v>3068</v>
      </c>
      <c r="D1395" s="150" t="s">
        <v>4074</v>
      </c>
      <c r="E1395" s="150" t="s">
        <v>4468</v>
      </c>
      <c r="F1395" s="150" t="s">
        <v>267</v>
      </c>
      <c r="G1395" s="149" t="s">
        <v>840</v>
      </c>
      <c r="H1395" s="151" t="str">
        <f t="shared" si="109"/>
        <v>1995/11/13</v>
      </c>
      <c r="I1395" s="150" t="s">
        <v>295</v>
      </c>
      <c r="J1395" s="150" t="s">
        <v>901</v>
      </c>
      <c r="K1395" s="101" t="str">
        <f t="shared" si="110"/>
        <v>95</v>
      </c>
      <c r="L1395" s="101" t="str">
        <f t="shared" si="111"/>
        <v>11</v>
      </c>
      <c r="M1395" s="101" t="str">
        <f t="shared" si="112"/>
        <v>13</v>
      </c>
    </row>
    <row r="1396" spans="1:13">
      <c r="A1396" t="str">
        <f t="shared" si="108"/>
        <v>広島大学3069女</v>
      </c>
      <c r="B1396" s="150" t="s">
        <v>1364</v>
      </c>
      <c r="C1396" s="150">
        <v>3069</v>
      </c>
      <c r="D1396" s="150" t="s">
        <v>4075</v>
      </c>
      <c r="E1396" s="150" t="s">
        <v>4469</v>
      </c>
      <c r="F1396" s="150" t="s">
        <v>267</v>
      </c>
      <c r="G1396" s="149" t="s">
        <v>840</v>
      </c>
      <c r="H1396" s="151" t="str">
        <f t="shared" si="109"/>
        <v>1994/05/11</v>
      </c>
      <c r="I1396" s="150" t="s">
        <v>295</v>
      </c>
      <c r="J1396" s="150" t="s">
        <v>523</v>
      </c>
      <c r="K1396" s="101" t="str">
        <f t="shared" si="110"/>
        <v>94</v>
      </c>
      <c r="L1396" s="101" t="str">
        <f t="shared" si="111"/>
        <v>05</v>
      </c>
      <c r="M1396" s="101" t="str">
        <f t="shared" si="112"/>
        <v>11</v>
      </c>
    </row>
    <row r="1397" spans="1:13">
      <c r="A1397" t="str">
        <f t="shared" si="108"/>
        <v>広島大学3070女</v>
      </c>
      <c r="B1397" s="150" t="s">
        <v>1364</v>
      </c>
      <c r="C1397" s="150">
        <v>3070</v>
      </c>
      <c r="D1397" s="150" t="s">
        <v>4076</v>
      </c>
      <c r="E1397" s="150" t="s">
        <v>4470</v>
      </c>
      <c r="F1397" s="150" t="s">
        <v>267</v>
      </c>
      <c r="G1397" s="149" t="s">
        <v>840</v>
      </c>
      <c r="H1397" s="151" t="str">
        <f t="shared" si="109"/>
        <v>1995/06/06</v>
      </c>
      <c r="I1397" s="150" t="s">
        <v>295</v>
      </c>
      <c r="J1397" s="150" t="s">
        <v>782</v>
      </c>
      <c r="K1397" s="101" t="str">
        <f t="shared" si="110"/>
        <v>95</v>
      </c>
      <c r="L1397" s="101" t="str">
        <f t="shared" si="111"/>
        <v>06</v>
      </c>
      <c r="M1397" s="101" t="str">
        <f t="shared" si="112"/>
        <v>06</v>
      </c>
    </row>
    <row r="1398" spans="1:13">
      <c r="A1398" t="str">
        <f t="shared" si="108"/>
        <v>広島大学3071女</v>
      </c>
      <c r="B1398" s="150" t="s">
        <v>1364</v>
      </c>
      <c r="C1398" s="150">
        <v>3071</v>
      </c>
      <c r="D1398" s="150" t="s">
        <v>4077</v>
      </c>
      <c r="E1398" s="150" t="s">
        <v>4471</v>
      </c>
      <c r="F1398" s="150" t="s">
        <v>267</v>
      </c>
      <c r="G1398" s="149" t="s">
        <v>840</v>
      </c>
      <c r="H1398" s="151" t="str">
        <f t="shared" si="109"/>
        <v>1995/06/29</v>
      </c>
      <c r="I1398" s="150" t="s">
        <v>295</v>
      </c>
      <c r="J1398" s="150" t="s">
        <v>625</v>
      </c>
      <c r="K1398" s="101" t="str">
        <f t="shared" si="110"/>
        <v>95</v>
      </c>
      <c r="L1398" s="101" t="str">
        <f t="shared" si="111"/>
        <v>06</v>
      </c>
      <c r="M1398" s="101" t="str">
        <f t="shared" si="112"/>
        <v>29</v>
      </c>
    </row>
    <row r="1399" spans="1:13">
      <c r="A1399" t="str">
        <f t="shared" si="108"/>
        <v>広島大学3072女</v>
      </c>
      <c r="B1399" s="150" t="s">
        <v>1364</v>
      </c>
      <c r="C1399" s="150">
        <v>3072</v>
      </c>
      <c r="D1399" s="150" t="s">
        <v>4078</v>
      </c>
      <c r="E1399" s="150" t="s">
        <v>4472</v>
      </c>
      <c r="F1399" s="150" t="s">
        <v>267</v>
      </c>
      <c r="G1399" s="149" t="s">
        <v>840</v>
      </c>
      <c r="H1399" s="151" t="str">
        <f t="shared" si="109"/>
        <v>1995/04/24</v>
      </c>
      <c r="I1399" s="150" t="s">
        <v>295</v>
      </c>
      <c r="J1399" s="150" t="s">
        <v>607</v>
      </c>
      <c r="K1399" s="101" t="str">
        <f t="shared" si="110"/>
        <v>95</v>
      </c>
      <c r="L1399" s="101" t="str">
        <f t="shared" si="111"/>
        <v>04</v>
      </c>
      <c r="M1399" s="101" t="str">
        <f t="shared" si="112"/>
        <v>24</v>
      </c>
    </row>
    <row r="1400" spans="1:13">
      <c r="A1400" t="str">
        <f t="shared" si="108"/>
        <v>広島大学3073女</v>
      </c>
      <c r="B1400" s="150" t="s">
        <v>1364</v>
      </c>
      <c r="C1400" s="150">
        <v>3073</v>
      </c>
      <c r="D1400" s="150" t="s">
        <v>4079</v>
      </c>
      <c r="E1400" s="150" t="s">
        <v>4473</v>
      </c>
      <c r="F1400" s="150">
        <v>6</v>
      </c>
      <c r="G1400" s="149" t="s">
        <v>840</v>
      </c>
      <c r="H1400" s="151" t="str">
        <f t="shared" si="109"/>
        <v>1992/02/13</v>
      </c>
      <c r="I1400" s="150" t="s">
        <v>295</v>
      </c>
      <c r="J1400" s="150">
        <v>920213</v>
      </c>
      <c r="K1400" s="101" t="str">
        <f t="shared" si="110"/>
        <v>92</v>
      </c>
      <c r="L1400" s="101" t="str">
        <f t="shared" si="111"/>
        <v>02</v>
      </c>
      <c r="M1400" s="101" t="str">
        <f t="shared" si="112"/>
        <v>13</v>
      </c>
    </row>
    <row r="1401" spans="1:13">
      <c r="A1401" t="str">
        <f t="shared" si="108"/>
        <v>広島大学3074女</v>
      </c>
      <c r="B1401" s="150" t="s">
        <v>1364</v>
      </c>
      <c r="C1401" s="150">
        <v>3074</v>
      </c>
      <c r="D1401" s="150" t="s">
        <v>4080</v>
      </c>
      <c r="E1401" s="150" t="s">
        <v>4474</v>
      </c>
      <c r="F1401" s="150">
        <v>6</v>
      </c>
      <c r="G1401" s="149" t="s">
        <v>840</v>
      </c>
      <c r="H1401" s="151" t="str">
        <f t="shared" si="109"/>
        <v>1991/12/02</v>
      </c>
      <c r="I1401" s="150" t="s">
        <v>295</v>
      </c>
      <c r="J1401" s="150">
        <v>911202</v>
      </c>
      <c r="K1401" s="101" t="str">
        <f t="shared" si="110"/>
        <v>91</v>
      </c>
      <c r="L1401" s="101" t="str">
        <f t="shared" si="111"/>
        <v>12</v>
      </c>
      <c r="M1401" s="101" t="str">
        <f t="shared" si="112"/>
        <v>02</v>
      </c>
    </row>
    <row r="1402" spans="1:13">
      <c r="A1402" t="str">
        <f t="shared" si="108"/>
        <v>広島大学3075女</v>
      </c>
      <c r="B1402" s="150" t="s">
        <v>1364</v>
      </c>
      <c r="C1402" s="150">
        <v>3075</v>
      </c>
      <c r="D1402" s="150" t="s">
        <v>4081</v>
      </c>
      <c r="E1402" s="150" t="s">
        <v>4475</v>
      </c>
      <c r="F1402" s="150">
        <v>5</v>
      </c>
      <c r="G1402" s="149" t="s">
        <v>840</v>
      </c>
      <c r="H1402" s="151" t="str">
        <f t="shared" si="109"/>
        <v>1992/08/21</v>
      </c>
      <c r="I1402" s="150" t="s">
        <v>295</v>
      </c>
      <c r="J1402" s="150">
        <v>920821</v>
      </c>
      <c r="K1402" s="101" t="str">
        <f t="shared" si="110"/>
        <v>92</v>
      </c>
      <c r="L1402" s="101" t="str">
        <f t="shared" si="111"/>
        <v>08</v>
      </c>
      <c r="M1402" s="101" t="str">
        <f t="shared" si="112"/>
        <v>21</v>
      </c>
    </row>
    <row r="1403" spans="1:13">
      <c r="A1403" t="str">
        <f t="shared" si="108"/>
        <v>広島大学3076女</v>
      </c>
      <c r="B1403" s="150" t="s">
        <v>1364</v>
      </c>
      <c r="C1403" s="150">
        <v>3076</v>
      </c>
      <c r="D1403" s="150" t="s">
        <v>4082</v>
      </c>
      <c r="E1403" s="150" t="s">
        <v>4476</v>
      </c>
      <c r="F1403" s="150">
        <v>5</v>
      </c>
      <c r="G1403" s="149" t="s">
        <v>840</v>
      </c>
      <c r="H1403" s="151" t="str">
        <f t="shared" si="109"/>
        <v>1992/07/15</v>
      </c>
      <c r="I1403" s="150" t="s">
        <v>295</v>
      </c>
      <c r="J1403" s="150">
        <v>920715</v>
      </c>
      <c r="K1403" s="101" t="str">
        <f t="shared" si="110"/>
        <v>92</v>
      </c>
      <c r="L1403" s="101" t="str">
        <f t="shared" si="111"/>
        <v>07</v>
      </c>
      <c r="M1403" s="101" t="str">
        <f t="shared" si="112"/>
        <v>15</v>
      </c>
    </row>
    <row r="1404" spans="1:13">
      <c r="A1404" t="str">
        <f t="shared" si="108"/>
        <v>広島大学3077女</v>
      </c>
      <c r="B1404" s="150" t="s">
        <v>1364</v>
      </c>
      <c r="C1404" s="150">
        <v>3077</v>
      </c>
      <c r="D1404" s="150" t="s">
        <v>4083</v>
      </c>
      <c r="E1404" s="150" t="s">
        <v>4477</v>
      </c>
      <c r="F1404" s="150">
        <v>4</v>
      </c>
      <c r="G1404" s="149" t="s">
        <v>840</v>
      </c>
      <c r="H1404" s="151" t="str">
        <f t="shared" si="109"/>
        <v>1993/05/12</v>
      </c>
      <c r="I1404" s="150" t="s">
        <v>295</v>
      </c>
      <c r="J1404" s="150">
        <v>930512</v>
      </c>
      <c r="K1404" s="101" t="str">
        <f t="shared" si="110"/>
        <v>93</v>
      </c>
      <c r="L1404" s="101" t="str">
        <f t="shared" si="111"/>
        <v>05</v>
      </c>
      <c r="M1404" s="101" t="str">
        <f t="shared" si="112"/>
        <v>12</v>
      </c>
    </row>
    <row r="1405" spans="1:13">
      <c r="A1405" t="str">
        <f t="shared" si="108"/>
        <v>広島大学3078女</v>
      </c>
      <c r="B1405" s="150" t="s">
        <v>1364</v>
      </c>
      <c r="C1405" s="150">
        <v>3078</v>
      </c>
      <c r="D1405" s="150" t="s">
        <v>4084</v>
      </c>
      <c r="E1405" s="150" t="s">
        <v>4478</v>
      </c>
      <c r="F1405" s="150" t="s">
        <v>265</v>
      </c>
      <c r="G1405" s="149" t="s">
        <v>840</v>
      </c>
      <c r="H1405" s="151" t="str">
        <f t="shared" si="109"/>
        <v>1993/10/17</v>
      </c>
      <c r="I1405" s="150" t="s">
        <v>295</v>
      </c>
      <c r="J1405" s="150" t="s">
        <v>337</v>
      </c>
      <c r="K1405" s="101" t="str">
        <f t="shared" si="110"/>
        <v>93</v>
      </c>
      <c r="L1405" s="101" t="str">
        <f t="shared" si="111"/>
        <v>10</v>
      </c>
      <c r="M1405" s="101" t="str">
        <f t="shared" si="112"/>
        <v>17</v>
      </c>
    </row>
    <row r="1406" spans="1:13">
      <c r="A1406" t="str">
        <f t="shared" si="108"/>
        <v>広島大学3079女</v>
      </c>
      <c r="B1406" s="150" t="s">
        <v>1364</v>
      </c>
      <c r="C1406" s="150">
        <v>3079</v>
      </c>
      <c r="D1406" s="150" t="s">
        <v>4085</v>
      </c>
      <c r="E1406" s="150" t="s">
        <v>4479</v>
      </c>
      <c r="F1406" s="150" t="s">
        <v>265</v>
      </c>
      <c r="G1406" s="149" t="s">
        <v>840</v>
      </c>
      <c r="H1406" s="151" t="str">
        <f t="shared" si="109"/>
        <v>1994/10/04</v>
      </c>
      <c r="I1406" s="150" t="s">
        <v>295</v>
      </c>
      <c r="J1406" s="150" t="s">
        <v>417</v>
      </c>
      <c r="K1406" s="101" t="str">
        <f t="shared" si="110"/>
        <v>94</v>
      </c>
      <c r="L1406" s="101" t="str">
        <f t="shared" si="111"/>
        <v>10</v>
      </c>
      <c r="M1406" s="101" t="str">
        <f t="shared" si="112"/>
        <v>04</v>
      </c>
    </row>
    <row r="1407" spans="1:13">
      <c r="A1407" t="str">
        <f t="shared" si="108"/>
        <v>広島大学3080女</v>
      </c>
      <c r="B1407" s="150" t="s">
        <v>1364</v>
      </c>
      <c r="C1407" s="150">
        <v>3080</v>
      </c>
      <c r="D1407" s="150" t="s">
        <v>4086</v>
      </c>
      <c r="E1407" s="150" t="s">
        <v>4480</v>
      </c>
      <c r="F1407" s="150" t="s">
        <v>265</v>
      </c>
      <c r="G1407" s="149" t="s">
        <v>840</v>
      </c>
      <c r="H1407" s="151" t="str">
        <f t="shared" si="109"/>
        <v>1993/04/22</v>
      </c>
      <c r="I1407" s="150" t="s">
        <v>295</v>
      </c>
      <c r="J1407" s="150" t="s">
        <v>331</v>
      </c>
      <c r="K1407" s="101" t="str">
        <f t="shared" si="110"/>
        <v>93</v>
      </c>
      <c r="L1407" s="101" t="str">
        <f t="shared" si="111"/>
        <v>04</v>
      </c>
      <c r="M1407" s="101" t="str">
        <f t="shared" si="112"/>
        <v>22</v>
      </c>
    </row>
    <row r="1408" spans="1:13">
      <c r="A1408" t="str">
        <f t="shared" si="108"/>
        <v>広島大学3081女</v>
      </c>
      <c r="B1408" s="150" t="s">
        <v>1364</v>
      </c>
      <c r="C1408" s="150">
        <v>3081</v>
      </c>
      <c r="D1408" s="150" t="s">
        <v>4087</v>
      </c>
      <c r="E1408" s="150" t="s">
        <v>4481</v>
      </c>
      <c r="F1408" s="150" t="s">
        <v>265</v>
      </c>
      <c r="G1408" s="149" t="s">
        <v>840</v>
      </c>
      <c r="H1408" s="151" t="str">
        <f t="shared" si="109"/>
        <v>1993/07/02</v>
      </c>
      <c r="I1408" s="150" t="s">
        <v>295</v>
      </c>
      <c r="J1408" s="150" t="s">
        <v>3766</v>
      </c>
      <c r="K1408" s="101" t="str">
        <f t="shared" si="110"/>
        <v>93</v>
      </c>
      <c r="L1408" s="101" t="str">
        <f t="shared" si="111"/>
        <v>07</v>
      </c>
      <c r="M1408" s="101" t="str">
        <f t="shared" si="112"/>
        <v>02</v>
      </c>
    </row>
    <row r="1409" spans="1:13">
      <c r="A1409" t="str">
        <f t="shared" si="108"/>
        <v>広島大学3082女</v>
      </c>
      <c r="B1409" s="150" t="s">
        <v>1364</v>
      </c>
      <c r="C1409" s="150">
        <v>3082</v>
      </c>
      <c r="D1409" s="150" t="s">
        <v>4088</v>
      </c>
      <c r="E1409" s="150" t="s">
        <v>4482</v>
      </c>
      <c r="F1409" s="150" t="s">
        <v>265</v>
      </c>
      <c r="G1409" s="149" t="s">
        <v>840</v>
      </c>
      <c r="H1409" s="151" t="str">
        <f t="shared" si="109"/>
        <v>1994/02/08</v>
      </c>
      <c r="I1409" s="150" t="s">
        <v>295</v>
      </c>
      <c r="J1409" s="150" t="s">
        <v>4804</v>
      </c>
      <c r="K1409" s="101" t="str">
        <f t="shared" si="110"/>
        <v>94</v>
      </c>
      <c r="L1409" s="101" t="str">
        <f t="shared" si="111"/>
        <v>02</v>
      </c>
      <c r="M1409" s="101" t="str">
        <f t="shared" si="112"/>
        <v>08</v>
      </c>
    </row>
    <row r="1410" spans="1:13">
      <c r="A1410" t="str">
        <f t="shared" ref="A1410:A1473" si="113">B1410&amp;C1410&amp;G1410</f>
        <v>広島大学3083女</v>
      </c>
      <c r="B1410" s="150" t="s">
        <v>1364</v>
      </c>
      <c r="C1410" s="150">
        <v>3083</v>
      </c>
      <c r="D1410" s="150" t="s">
        <v>4089</v>
      </c>
      <c r="E1410" s="150" t="s">
        <v>4483</v>
      </c>
      <c r="F1410" s="150">
        <v>3</v>
      </c>
      <c r="G1410" s="149" t="s">
        <v>840</v>
      </c>
      <c r="H1410" s="151" t="str">
        <f t="shared" si="109"/>
        <v>1994/07/02</v>
      </c>
      <c r="I1410" s="150" t="s">
        <v>295</v>
      </c>
      <c r="J1410" s="150">
        <v>940702</v>
      </c>
      <c r="K1410" s="101" t="str">
        <f t="shared" si="110"/>
        <v>94</v>
      </c>
      <c r="L1410" s="101" t="str">
        <f t="shared" si="111"/>
        <v>07</v>
      </c>
      <c r="M1410" s="101" t="str">
        <f t="shared" si="112"/>
        <v>02</v>
      </c>
    </row>
    <row r="1411" spans="1:13">
      <c r="A1411" t="str">
        <f t="shared" si="113"/>
        <v>広島大学3084女</v>
      </c>
      <c r="B1411" s="150" t="s">
        <v>1364</v>
      </c>
      <c r="C1411" s="150">
        <v>3084</v>
      </c>
      <c r="D1411" s="150" t="s">
        <v>4090</v>
      </c>
      <c r="E1411" s="150" t="s">
        <v>4484</v>
      </c>
      <c r="F1411" s="150">
        <v>3</v>
      </c>
      <c r="G1411" s="149" t="s">
        <v>840</v>
      </c>
      <c r="H1411" s="151" t="str">
        <f t="shared" ref="H1411:H1474" si="114">"19"&amp;K1411&amp;"/"&amp;L1411&amp;"/"&amp;M1411</f>
        <v>1993/06/25</v>
      </c>
      <c r="I1411" s="150" t="s">
        <v>295</v>
      </c>
      <c r="J1411" s="150">
        <v>930625</v>
      </c>
      <c r="K1411" s="101" t="str">
        <f t="shared" si="110"/>
        <v>93</v>
      </c>
      <c r="L1411" s="101" t="str">
        <f t="shared" si="111"/>
        <v>06</v>
      </c>
      <c r="M1411" s="101" t="str">
        <f t="shared" si="112"/>
        <v>25</v>
      </c>
    </row>
    <row r="1412" spans="1:13">
      <c r="A1412" t="str">
        <f t="shared" si="113"/>
        <v>広島大学3085女</v>
      </c>
      <c r="B1412" s="150" t="s">
        <v>1364</v>
      </c>
      <c r="C1412" s="150">
        <v>3085</v>
      </c>
      <c r="D1412" s="150" t="s">
        <v>4091</v>
      </c>
      <c r="E1412" s="150" t="s">
        <v>4485</v>
      </c>
      <c r="F1412" s="150" t="s">
        <v>267</v>
      </c>
      <c r="G1412" s="149" t="s">
        <v>840</v>
      </c>
      <c r="H1412" s="151" t="str">
        <f t="shared" si="114"/>
        <v>1996/02/24</v>
      </c>
      <c r="I1412" s="150" t="s">
        <v>295</v>
      </c>
      <c r="J1412" s="150" t="s">
        <v>882</v>
      </c>
      <c r="K1412" s="101" t="str">
        <f t="shared" si="110"/>
        <v>96</v>
      </c>
      <c r="L1412" s="101" t="str">
        <f t="shared" si="111"/>
        <v>02</v>
      </c>
      <c r="M1412" s="101" t="str">
        <f t="shared" si="112"/>
        <v>24</v>
      </c>
    </row>
    <row r="1413" spans="1:13">
      <c r="A1413" t="str">
        <f t="shared" si="113"/>
        <v>広島大学3086女</v>
      </c>
      <c r="B1413" s="150" t="s">
        <v>1364</v>
      </c>
      <c r="C1413" s="150">
        <v>3086</v>
      </c>
      <c r="D1413" s="150" t="s">
        <v>4092</v>
      </c>
      <c r="E1413" s="150" t="s">
        <v>4486</v>
      </c>
      <c r="F1413" s="150" t="s">
        <v>267</v>
      </c>
      <c r="G1413" s="149" t="s">
        <v>840</v>
      </c>
      <c r="H1413" s="151" t="str">
        <f t="shared" si="114"/>
        <v>1993/09/17</v>
      </c>
      <c r="I1413" s="150" t="s">
        <v>295</v>
      </c>
      <c r="J1413" s="150" t="s">
        <v>4805</v>
      </c>
      <c r="K1413" s="101" t="str">
        <f t="shared" si="110"/>
        <v>93</v>
      </c>
      <c r="L1413" s="101" t="str">
        <f t="shared" si="111"/>
        <v>09</v>
      </c>
      <c r="M1413" s="101" t="str">
        <f t="shared" si="112"/>
        <v>17</v>
      </c>
    </row>
    <row r="1414" spans="1:13">
      <c r="A1414" t="str">
        <f t="shared" si="113"/>
        <v>広島大学3087女</v>
      </c>
      <c r="B1414" s="150" t="s">
        <v>1364</v>
      </c>
      <c r="C1414" s="150">
        <v>3087</v>
      </c>
      <c r="D1414" s="150" t="s">
        <v>4093</v>
      </c>
      <c r="E1414" s="150" t="s">
        <v>4487</v>
      </c>
      <c r="F1414" s="150" t="s">
        <v>267</v>
      </c>
      <c r="G1414" s="149" t="s">
        <v>840</v>
      </c>
      <c r="H1414" s="151" t="str">
        <f t="shared" si="114"/>
        <v>1995/10/21</v>
      </c>
      <c r="I1414" s="150" t="s">
        <v>295</v>
      </c>
      <c r="J1414" s="150" t="s">
        <v>817</v>
      </c>
      <c r="K1414" s="101" t="str">
        <f t="shared" si="110"/>
        <v>95</v>
      </c>
      <c r="L1414" s="101" t="str">
        <f t="shared" si="111"/>
        <v>10</v>
      </c>
      <c r="M1414" s="101" t="str">
        <f t="shared" si="112"/>
        <v>21</v>
      </c>
    </row>
    <row r="1415" spans="1:13">
      <c r="A1415" t="str">
        <f t="shared" si="113"/>
        <v>広島大学3088女</v>
      </c>
      <c r="B1415" s="150" t="s">
        <v>1364</v>
      </c>
      <c r="C1415" s="150">
        <v>3088</v>
      </c>
      <c r="D1415" s="150" t="s">
        <v>4094</v>
      </c>
      <c r="E1415" s="150" t="s">
        <v>4488</v>
      </c>
      <c r="F1415" s="150" t="s">
        <v>267</v>
      </c>
      <c r="G1415" s="149" t="s">
        <v>840</v>
      </c>
      <c r="H1415" s="151" t="str">
        <f t="shared" si="114"/>
        <v>1994/06/12</v>
      </c>
      <c r="I1415" s="150" t="s">
        <v>295</v>
      </c>
      <c r="J1415" s="150" t="s">
        <v>461</v>
      </c>
      <c r="K1415" s="101" t="str">
        <f t="shared" si="110"/>
        <v>94</v>
      </c>
      <c r="L1415" s="101" t="str">
        <f t="shared" si="111"/>
        <v>06</v>
      </c>
      <c r="M1415" s="101" t="str">
        <f t="shared" si="112"/>
        <v>12</v>
      </c>
    </row>
    <row r="1416" spans="1:13">
      <c r="A1416" t="str">
        <f t="shared" si="113"/>
        <v>広島大学3089女</v>
      </c>
      <c r="B1416" s="150" t="s">
        <v>1364</v>
      </c>
      <c r="C1416" s="150">
        <v>3089</v>
      </c>
      <c r="D1416" s="150" t="s">
        <v>4095</v>
      </c>
      <c r="E1416" s="150" t="s">
        <v>4489</v>
      </c>
      <c r="F1416" s="150" t="s">
        <v>267</v>
      </c>
      <c r="G1416" s="149" t="s">
        <v>840</v>
      </c>
      <c r="H1416" s="151" t="str">
        <f t="shared" si="114"/>
        <v>1995/12/21</v>
      </c>
      <c r="I1416" s="150" t="s">
        <v>295</v>
      </c>
      <c r="J1416" s="150" t="s">
        <v>600</v>
      </c>
      <c r="K1416" s="101" t="str">
        <f t="shared" si="110"/>
        <v>95</v>
      </c>
      <c r="L1416" s="101" t="str">
        <f t="shared" si="111"/>
        <v>12</v>
      </c>
      <c r="M1416" s="101" t="str">
        <f t="shared" si="112"/>
        <v>21</v>
      </c>
    </row>
    <row r="1417" spans="1:13">
      <c r="A1417" t="str">
        <f t="shared" si="113"/>
        <v>広島経済大学3090女</v>
      </c>
      <c r="B1417" s="150" t="s">
        <v>1600</v>
      </c>
      <c r="C1417" s="150">
        <v>3090</v>
      </c>
      <c r="D1417" s="150" t="s">
        <v>4096</v>
      </c>
      <c r="E1417" s="150" t="s">
        <v>4490</v>
      </c>
      <c r="F1417" s="150" t="s">
        <v>260</v>
      </c>
      <c r="G1417" s="149" t="s">
        <v>840</v>
      </c>
      <c r="H1417" s="151" t="str">
        <f t="shared" si="114"/>
        <v>1993/04/16</v>
      </c>
      <c r="I1417" s="150" t="s">
        <v>295</v>
      </c>
      <c r="J1417" s="150" t="s">
        <v>4806</v>
      </c>
      <c r="K1417" s="101" t="str">
        <f t="shared" si="110"/>
        <v>93</v>
      </c>
      <c r="L1417" s="101" t="str">
        <f t="shared" si="111"/>
        <v>04</v>
      </c>
      <c r="M1417" s="101" t="str">
        <f t="shared" si="112"/>
        <v>16</v>
      </c>
    </row>
    <row r="1418" spans="1:13">
      <c r="A1418" t="str">
        <f t="shared" si="113"/>
        <v>広島経済大学3091女</v>
      </c>
      <c r="B1418" s="150" t="s">
        <v>1600</v>
      </c>
      <c r="C1418" s="150">
        <v>3091</v>
      </c>
      <c r="D1418" s="150" t="s">
        <v>4097</v>
      </c>
      <c r="E1418" s="150" t="s">
        <v>4491</v>
      </c>
      <c r="F1418" s="150" t="s">
        <v>265</v>
      </c>
      <c r="G1418" s="149" t="s">
        <v>840</v>
      </c>
      <c r="H1418" s="151" t="str">
        <f t="shared" si="114"/>
        <v>1994/08/21</v>
      </c>
      <c r="I1418" s="150" t="s">
        <v>281</v>
      </c>
      <c r="J1418" s="150" t="s">
        <v>478</v>
      </c>
      <c r="K1418" s="101" t="str">
        <f t="shared" si="110"/>
        <v>94</v>
      </c>
      <c r="L1418" s="101" t="str">
        <f t="shared" si="111"/>
        <v>08</v>
      </c>
      <c r="M1418" s="101" t="str">
        <f t="shared" si="112"/>
        <v>21</v>
      </c>
    </row>
    <row r="1419" spans="1:13">
      <c r="A1419" t="str">
        <f t="shared" si="113"/>
        <v>広島経済大学3092女</v>
      </c>
      <c r="B1419" s="150" t="s">
        <v>1600</v>
      </c>
      <c r="C1419" s="150">
        <v>3092</v>
      </c>
      <c r="D1419" s="150" t="s">
        <v>4098</v>
      </c>
      <c r="E1419" s="150" t="s">
        <v>4492</v>
      </c>
      <c r="F1419" s="150" t="s">
        <v>267</v>
      </c>
      <c r="G1419" s="149" t="s">
        <v>840</v>
      </c>
      <c r="H1419" s="151" t="str">
        <f t="shared" si="114"/>
        <v>1995/10/01</v>
      </c>
      <c r="I1419" s="150" t="s">
        <v>301</v>
      </c>
      <c r="J1419" s="150" t="s">
        <v>629</v>
      </c>
      <c r="K1419" s="101" t="str">
        <f t="shared" si="110"/>
        <v>95</v>
      </c>
      <c r="L1419" s="101" t="str">
        <f t="shared" si="111"/>
        <v>10</v>
      </c>
      <c r="M1419" s="101" t="str">
        <f t="shared" si="112"/>
        <v>01</v>
      </c>
    </row>
    <row r="1420" spans="1:13">
      <c r="A1420" t="str">
        <f t="shared" si="113"/>
        <v>広島経済大学3093女</v>
      </c>
      <c r="B1420" s="150" t="s">
        <v>1600</v>
      </c>
      <c r="C1420" s="150">
        <v>3093</v>
      </c>
      <c r="D1420" s="150" t="s">
        <v>4099</v>
      </c>
      <c r="E1420" s="150" t="s">
        <v>4493</v>
      </c>
      <c r="F1420" s="150" t="s">
        <v>267</v>
      </c>
      <c r="G1420" s="149" t="s">
        <v>840</v>
      </c>
      <c r="H1420" s="151" t="str">
        <f t="shared" si="114"/>
        <v>1995/07/31</v>
      </c>
      <c r="I1420" s="150" t="s">
        <v>281</v>
      </c>
      <c r="J1420" s="150" t="s">
        <v>524</v>
      </c>
      <c r="K1420" s="101" t="str">
        <f t="shared" si="110"/>
        <v>95</v>
      </c>
      <c r="L1420" s="101" t="str">
        <f t="shared" si="111"/>
        <v>07</v>
      </c>
      <c r="M1420" s="101" t="str">
        <f t="shared" si="112"/>
        <v>31</v>
      </c>
    </row>
    <row r="1421" spans="1:13">
      <c r="A1421" t="str">
        <f t="shared" si="113"/>
        <v>広島経済大学3094女</v>
      </c>
      <c r="B1421" s="150" t="s">
        <v>1600</v>
      </c>
      <c r="C1421" s="150">
        <v>3094</v>
      </c>
      <c r="D1421" s="150" t="s">
        <v>4100</v>
      </c>
      <c r="E1421" s="150" t="s">
        <v>4494</v>
      </c>
      <c r="F1421" s="150" t="s">
        <v>267</v>
      </c>
      <c r="G1421" s="149" t="s">
        <v>840</v>
      </c>
      <c r="H1421" s="151" t="str">
        <f t="shared" si="114"/>
        <v>1995/04/16</v>
      </c>
      <c r="I1421" s="150" t="s">
        <v>281</v>
      </c>
      <c r="J1421" s="150" t="s">
        <v>4807</v>
      </c>
      <c r="K1421" s="101" t="str">
        <f t="shared" si="110"/>
        <v>95</v>
      </c>
      <c r="L1421" s="101" t="str">
        <f t="shared" si="111"/>
        <v>04</v>
      </c>
      <c r="M1421" s="101" t="str">
        <f t="shared" si="112"/>
        <v>16</v>
      </c>
    </row>
    <row r="1422" spans="1:13">
      <c r="A1422" t="str">
        <f t="shared" si="113"/>
        <v>広島経済大学3095女</v>
      </c>
      <c r="B1422" s="150" t="s">
        <v>1600</v>
      </c>
      <c r="C1422" s="150">
        <v>3095</v>
      </c>
      <c r="D1422" s="150" t="s">
        <v>4101</v>
      </c>
      <c r="E1422" s="150" t="s">
        <v>4495</v>
      </c>
      <c r="F1422" s="150" t="s">
        <v>260</v>
      </c>
      <c r="G1422" s="149" t="s">
        <v>840</v>
      </c>
      <c r="H1422" s="151" t="str">
        <f t="shared" si="114"/>
        <v>1994/02/18</v>
      </c>
      <c r="I1422" s="150" t="s">
        <v>299</v>
      </c>
      <c r="J1422" s="150" t="s">
        <v>571</v>
      </c>
      <c r="K1422" s="101" t="str">
        <f t="shared" si="110"/>
        <v>94</v>
      </c>
      <c r="L1422" s="101" t="str">
        <f t="shared" si="111"/>
        <v>02</v>
      </c>
      <c r="M1422" s="101" t="str">
        <f t="shared" si="112"/>
        <v>18</v>
      </c>
    </row>
    <row r="1423" spans="1:13">
      <c r="A1423" t="str">
        <f t="shared" si="113"/>
        <v>広島経済大学3096女</v>
      </c>
      <c r="B1423" s="150" t="s">
        <v>1600</v>
      </c>
      <c r="C1423" s="150">
        <v>3096</v>
      </c>
      <c r="D1423" s="150" t="s">
        <v>4102</v>
      </c>
      <c r="E1423" s="150" t="s">
        <v>4496</v>
      </c>
      <c r="F1423" s="150" t="s">
        <v>267</v>
      </c>
      <c r="G1423" s="149" t="s">
        <v>840</v>
      </c>
      <c r="H1423" s="151" t="str">
        <f t="shared" si="114"/>
        <v>1995/12/20</v>
      </c>
      <c r="I1423" s="150" t="s">
        <v>295</v>
      </c>
      <c r="J1423" s="150" t="s">
        <v>602</v>
      </c>
      <c r="K1423" s="101" t="str">
        <f t="shared" si="110"/>
        <v>95</v>
      </c>
      <c r="L1423" s="101" t="str">
        <f t="shared" si="111"/>
        <v>12</v>
      </c>
      <c r="M1423" s="101" t="str">
        <f t="shared" si="112"/>
        <v>20</v>
      </c>
    </row>
    <row r="1424" spans="1:13">
      <c r="A1424" t="str">
        <f t="shared" si="113"/>
        <v>岡山理科大学3097女</v>
      </c>
      <c r="B1424" s="150" t="s">
        <v>1690</v>
      </c>
      <c r="C1424" s="150">
        <v>3097</v>
      </c>
      <c r="D1424" s="150" t="s">
        <v>4103</v>
      </c>
      <c r="E1424" s="150" t="s">
        <v>4497</v>
      </c>
      <c r="F1424" s="150" t="s">
        <v>267</v>
      </c>
      <c r="G1424" s="149" t="s">
        <v>840</v>
      </c>
      <c r="H1424" s="151" t="str">
        <f t="shared" si="114"/>
        <v>1995/07/22</v>
      </c>
      <c r="I1424" s="150" t="s">
        <v>299</v>
      </c>
      <c r="J1424" s="150" t="s">
        <v>3678</v>
      </c>
      <c r="K1424" s="101" t="str">
        <f t="shared" si="110"/>
        <v>95</v>
      </c>
      <c r="L1424" s="101" t="str">
        <f t="shared" si="111"/>
        <v>07</v>
      </c>
      <c r="M1424" s="101" t="str">
        <f t="shared" si="112"/>
        <v>22</v>
      </c>
    </row>
    <row r="1425" spans="1:13">
      <c r="A1425" t="str">
        <f t="shared" si="113"/>
        <v>美作大学3098女</v>
      </c>
      <c r="B1425" s="150" t="s">
        <v>1727</v>
      </c>
      <c r="C1425" s="150">
        <v>3098</v>
      </c>
      <c r="D1425" s="150" t="s">
        <v>4104</v>
      </c>
      <c r="E1425" s="150" t="s">
        <v>4498</v>
      </c>
      <c r="F1425" s="150" t="s">
        <v>260</v>
      </c>
      <c r="G1425" s="149" t="s">
        <v>840</v>
      </c>
      <c r="H1425" s="151" t="str">
        <f t="shared" si="114"/>
        <v>1993/12/03</v>
      </c>
      <c r="I1425" s="150" t="s">
        <v>299</v>
      </c>
      <c r="J1425" s="150" t="s">
        <v>4808</v>
      </c>
      <c r="K1425" s="101" t="str">
        <f t="shared" si="110"/>
        <v>93</v>
      </c>
      <c r="L1425" s="101" t="str">
        <f t="shared" si="111"/>
        <v>12</v>
      </c>
      <c r="M1425" s="101" t="str">
        <f t="shared" si="112"/>
        <v>03</v>
      </c>
    </row>
    <row r="1426" spans="1:13">
      <c r="A1426" t="str">
        <f t="shared" si="113"/>
        <v>美作大学3099女</v>
      </c>
      <c r="B1426" s="150" t="s">
        <v>1727</v>
      </c>
      <c r="C1426" s="150">
        <v>3099</v>
      </c>
      <c r="D1426" s="150" t="s">
        <v>4105</v>
      </c>
      <c r="E1426" s="150" t="s">
        <v>4499</v>
      </c>
      <c r="F1426" s="150" t="s">
        <v>260</v>
      </c>
      <c r="G1426" s="149" t="s">
        <v>840</v>
      </c>
      <c r="H1426" s="151" t="str">
        <f t="shared" si="114"/>
        <v>1993/04/16</v>
      </c>
      <c r="I1426" s="150" t="s">
        <v>299</v>
      </c>
      <c r="J1426" s="150" t="s">
        <v>4806</v>
      </c>
      <c r="K1426" s="101" t="str">
        <f t="shared" si="110"/>
        <v>93</v>
      </c>
      <c r="L1426" s="101" t="str">
        <f t="shared" si="111"/>
        <v>04</v>
      </c>
      <c r="M1426" s="101" t="str">
        <f t="shared" si="112"/>
        <v>16</v>
      </c>
    </row>
    <row r="1427" spans="1:13">
      <c r="A1427" t="str">
        <f t="shared" si="113"/>
        <v>美作大学3100女</v>
      </c>
      <c r="B1427" s="150" t="s">
        <v>1727</v>
      </c>
      <c r="C1427" s="150">
        <v>3100</v>
      </c>
      <c r="D1427" s="150" t="s">
        <v>4106</v>
      </c>
      <c r="E1427" s="150" t="s">
        <v>4500</v>
      </c>
      <c r="F1427" s="150" t="s">
        <v>260</v>
      </c>
      <c r="G1427" s="149" t="s">
        <v>840</v>
      </c>
      <c r="H1427" s="151" t="str">
        <f t="shared" si="114"/>
        <v>1993/10/26</v>
      </c>
      <c r="I1427" s="150" t="s">
        <v>295</v>
      </c>
      <c r="J1427" s="150" t="s">
        <v>886</v>
      </c>
      <c r="K1427" s="101" t="str">
        <f t="shared" si="110"/>
        <v>93</v>
      </c>
      <c r="L1427" s="101" t="str">
        <f t="shared" si="111"/>
        <v>10</v>
      </c>
      <c r="M1427" s="101" t="str">
        <f t="shared" si="112"/>
        <v>26</v>
      </c>
    </row>
    <row r="1428" spans="1:13">
      <c r="A1428" t="str">
        <f t="shared" si="113"/>
        <v>美作大学3101女</v>
      </c>
      <c r="B1428" s="150" t="s">
        <v>1727</v>
      </c>
      <c r="C1428" s="150">
        <v>3101</v>
      </c>
      <c r="D1428" s="150" t="s">
        <v>4107</v>
      </c>
      <c r="E1428" s="150" t="s">
        <v>4501</v>
      </c>
      <c r="F1428" s="150" t="s">
        <v>260</v>
      </c>
      <c r="G1428" s="149" t="s">
        <v>840</v>
      </c>
      <c r="H1428" s="151" t="str">
        <f t="shared" si="114"/>
        <v>1993/12/06</v>
      </c>
      <c r="I1428" s="150" t="s">
        <v>269</v>
      </c>
      <c r="J1428" s="150" t="s">
        <v>4809</v>
      </c>
      <c r="K1428" s="101" t="str">
        <f t="shared" si="110"/>
        <v>93</v>
      </c>
      <c r="L1428" s="101" t="str">
        <f t="shared" si="111"/>
        <v>12</v>
      </c>
      <c r="M1428" s="101" t="str">
        <f t="shared" si="112"/>
        <v>06</v>
      </c>
    </row>
    <row r="1429" spans="1:13">
      <c r="A1429" t="str">
        <f t="shared" si="113"/>
        <v>美作大学3102女</v>
      </c>
      <c r="B1429" s="150" t="s">
        <v>1727</v>
      </c>
      <c r="C1429" s="150">
        <v>3102</v>
      </c>
      <c r="D1429" s="150" t="s">
        <v>4108</v>
      </c>
      <c r="E1429" s="150" t="s">
        <v>4502</v>
      </c>
      <c r="F1429" s="150" t="s">
        <v>260</v>
      </c>
      <c r="G1429" s="149" t="s">
        <v>840</v>
      </c>
      <c r="H1429" s="151" t="str">
        <f t="shared" si="114"/>
        <v>1994/03/24</v>
      </c>
      <c r="I1429" s="150" t="s">
        <v>301</v>
      </c>
      <c r="J1429" s="150" t="s">
        <v>3665</v>
      </c>
      <c r="K1429" s="101" t="str">
        <f t="shared" si="110"/>
        <v>94</v>
      </c>
      <c r="L1429" s="101" t="str">
        <f t="shared" si="111"/>
        <v>03</v>
      </c>
      <c r="M1429" s="101" t="str">
        <f t="shared" si="112"/>
        <v>24</v>
      </c>
    </row>
    <row r="1430" spans="1:13">
      <c r="A1430" t="str">
        <f t="shared" si="113"/>
        <v>美作大学3103女</v>
      </c>
      <c r="B1430" s="150" t="s">
        <v>1727</v>
      </c>
      <c r="C1430" s="150">
        <v>3103</v>
      </c>
      <c r="D1430" s="150" t="s">
        <v>4109</v>
      </c>
      <c r="E1430" s="150" t="s">
        <v>4503</v>
      </c>
      <c r="F1430" s="150" t="s">
        <v>260</v>
      </c>
      <c r="G1430" s="149" t="s">
        <v>840</v>
      </c>
      <c r="H1430" s="151" t="str">
        <f t="shared" si="114"/>
        <v>1994/03/13</v>
      </c>
      <c r="I1430" s="150" t="s">
        <v>281</v>
      </c>
      <c r="J1430" s="150" t="s">
        <v>3789</v>
      </c>
      <c r="K1430" s="101" t="str">
        <f t="shared" si="110"/>
        <v>94</v>
      </c>
      <c r="L1430" s="101" t="str">
        <f t="shared" si="111"/>
        <v>03</v>
      </c>
      <c r="M1430" s="101" t="str">
        <f t="shared" si="112"/>
        <v>13</v>
      </c>
    </row>
    <row r="1431" spans="1:13">
      <c r="A1431" t="str">
        <f t="shared" si="113"/>
        <v>美作大学3104女</v>
      </c>
      <c r="B1431" s="150" t="s">
        <v>1727</v>
      </c>
      <c r="C1431" s="150">
        <v>3104</v>
      </c>
      <c r="D1431" s="150" t="s">
        <v>4110</v>
      </c>
      <c r="E1431" s="150" t="s">
        <v>4504</v>
      </c>
      <c r="F1431" s="150" t="s">
        <v>260</v>
      </c>
      <c r="G1431" s="149" t="s">
        <v>840</v>
      </c>
      <c r="H1431" s="151" t="str">
        <f t="shared" si="114"/>
        <v>1993/04/06</v>
      </c>
      <c r="I1431" s="150" t="s">
        <v>299</v>
      </c>
      <c r="J1431" s="150" t="s">
        <v>3685</v>
      </c>
      <c r="K1431" s="101" t="str">
        <f t="shared" si="110"/>
        <v>93</v>
      </c>
      <c r="L1431" s="101" t="str">
        <f t="shared" si="111"/>
        <v>04</v>
      </c>
      <c r="M1431" s="101" t="str">
        <f t="shared" si="112"/>
        <v>06</v>
      </c>
    </row>
    <row r="1432" spans="1:13">
      <c r="A1432" t="str">
        <f t="shared" si="113"/>
        <v>美作大学3105女</v>
      </c>
      <c r="B1432" s="150" t="s">
        <v>1727</v>
      </c>
      <c r="C1432" s="150">
        <v>3105</v>
      </c>
      <c r="D1432" s="150" t="s">
        <v>4111</v>
      </c>
      <c r="E1432" s="150" t="s">
        <v>4505</v>
      </c>
      <c r="F1432" s="150" t="s">
        <v>265</v>
      </c>
      <c r="G1432" s="149" t="s">
        <v>840</v>
      </c>
      <c r="H1432" s="151" t="str">
        <f t="shared" si="114"/>
        <v>1994/06/06</v>
      </c>
      <c r="I1432" s="150" t="s">
        <v>301</v>
      </c>
      <c r="J1432" s="150" t="s">
        <v>796</v>
      </c>
      <c r="K1432" s="101" t="str">
        <f t="shared" si="110"/>
        <v>94</v>
      </c>
      <c r="L1432" s="101" t="str">
        <f t="shared" si="111"/>
        <v>06</v>
      </c>
      <c r="M1432" s="101" t="str">
        <f t="shared" si="112"/>
        <v>06</v>
      </c>
    </row>
    <row r="1433" spans="1:13">
      <c r="A1433" t="str">
        <f t="shared" si="113"/>
        <v>美作大学3106女</v>
      </c>
      <c r="B1433" s="150" t="s">
        <v>1727</v>
      </c>
      <c r="C1433" s="150">
        <v>3106</v>
      </c>
      <c r="D1433" s="150" t="s">
        <v>4112</v>
      </c>
      <c r="E1433" s="150" t="s">
        <v>4506</v>
      </c>
      <c r="F1433" s="150" t="s">
        <v>265</v>
      </c>
      <c r="G1433" s="149" t="s">
        <v>840</v>
      </c>
      <c r="H1433" s="151" t="str">
        <f t="shared" si="114"/>
        <v>1994/04/16</v>
      </c>
      <c r="I1433" s="150" t="s">
        <v>302</v>
      </c>
      <c r="J1433" s="150" t="s">
        <v>3898</v>
      </c>
      <c r="K1433" s="101" t="str">
        <f t="shared" si="110"/>
        <v>94</v>
      </c>
      <c r="L1433" s="101" t="str">
        <f t="shared" si="111"/>
        <v>04</v>
      </c>
      <c r="M1433" s="101" t="str">
        <f t="shared" si="112"/>
        <v>16</v>
      </c>
    </row>
    <row r="1434" spans="1:13">
      <c r="A1434" t="str">
        <f t="shared" si="113"/>
        <v>美作大学3107女</v>
      </c>
      <c r="B1434" s="150" t="s">
        <v>1727</v>
      </c>
      <c r="C1434" s="150">
        <v>3107</v>
      </c>
      <c r="D1434" s="150" t="s">
        <v>4113</v>
      </c>
      <c r="E1434" s="150" t="s">
        <v>4507</v>
      </c>
      <c r="F1434" s="150" t="s">
        <v>265</v>
      </c>
      <c r="G1434" s="149" t="s">
        <v>840</v>
      </c>
      <c r="H1434" s="151" t="str">
        <f t="shared" si="114"/>
        <v>1994/04/24</v>
      </c>
      <c r="I1434" s="150" t="s">
        <v>301</v>
      </c>
      <c r="J1434" s="150" t="s">
        <v>773</v>
      </c>
      <c r="K1434" s="101" t="str">
        <f t="shared" si="110"/>
        <v>94</v>
      </c>
      <c r="L1434" s="101" t="str">
        <f t="shared" si="111"/>
        <v>04</v>
      </c>
      <c r="M1434" s="101" t="str">
        <f t="shared" si="112"/>
        <v>24</v>
      </c>
    </row>
    <row r="1435" spans="1:13">
      <c r="A1435" t="str">
        <f t="shared" si="113"/>
        <v>美作大学3108女</v>
      </c>
      <c r="B1435" s="150" t="s">
        <v>1727</v>
      </c>
      <c r="C1435" s="150">
        <v>3108</v>
      </c>
      <c r="D1435" s="150" t="s">
        <v>4114</v>
      </c>
      <c r="E1435" s="150" t="s">
        <v>4508</v>
      </c>
      <c r="F1435" s="150" t="s">
        <v>265</v>
      </c>
      <c r="G1435" s="149" t="s">
        <v>840</v>
      </c>
      <c r="H1435" s="151" t="str">
        <f t="shared" si="114"/>
        <v>1994/04/02</v>
      </c>
      <c r="I1435" s="150" t="s">
        <v>281</v>
      </c>
      <c r="J1435" s="150" t="s">
        <v>519</v>
      </c>
      <c r="K1435" s="101" t="str">
        <f t="shared" si="110"/>
        <v>94</v>
      </c>
      <c r="L1435" s="101" t="str">
        <f t="shared" si="111"/>
        <v>04</v>
      </c>
      <c r="M1435" s="101" t="str">
        <f t="shared" si="112"/>
        <v>02</v>
      </c>
    </row>
    <row r="1436" spans="1:13">
      <c r="A1436" t="str">
        <f t="shared" si="113"/>
        <v>美作大学3109女</v>
      </c>
      <c r="B1436" s="150" t="s">
        <v>1727</v>
      </c>
      <c r="C1436" s="150">
        <v>3109</v>
      </c>
      <c r="D1436" s="150" t="s">
        <v>4115</v>
      </c>
      <c r="E1436" s="150" t="s">
        <v>4509</v>
      </c>
      <c r="F1436" s="150" t="s">
        <v>265</v>
      </c>
      <c r="G1436" s="149" t="s">
        <v>840</v>
      </c>
      <c r="H1436" s="151" t="str">
        <f t="shared" si="114"/>
        <v>1994/06/12</v>
      </c>
      <c r="I1436" s="150" t="s">
        <v>299</v>
      </c>
      <c r="J1436" s="150" t="s">
        <v>461</v>
      </c>
      <c r="K1436" s="101" t="str">
        <f t="shared" si="110"/>
        <v>94</v>
      </c>
      <c r="L1436" s="101" t="str">
        <f t="shared" si="111"/>
        <v>06</v>
      </c>
      <c r="M1436" s="101" t="str">
        <f t="shared" si="112"/>
        <v>12</v>
      </c>
    </row>
    <row r="1437" spans="1:13">
      <c r="A1437" t="str">
        <f t="shared" si="113"/>
        <v>美作大学3110女</v>
      </c>
      <c r="B1437" s="150" t="s">
        <v>1727</v>
      </c>
      <c r="C1437" s="150">
        <v>3110</v>
      </c>
      <c r="D1437" s="150" t="s">
        <v>4116</v>
      </c>
      <c r="E1437" s="150" t="s">
        <v>4510</v>
      </c>
      <c r="F1437" s="150" t="s">
        <v>265</v>
      </c>
      <c r="G1437" s="149" t="s">
        <v>840</v>
      </c>
      <c r="H1437" s="151" t="str">
        <f t="shared" si="114"/>
        <v>1994/05/19</v>
      </c>
      <c r="I1437" s="150" t="s">
        <v>295</v>
      </c>
      <c r="J1437" s="150" t="s">
        <v>4810</v>
      </c>
      <c r="K1437" s="101" t="str">
        <f t="shared" si="110"/>
        <v>94</v>
      </c>
      <c r="L1437" s="101" t="str">
        <f t="shared" si="111"/>
        <v>05</v>
      </c>
      <c r="M1437" s="101" t="str">
        <f t="shared" si="112"/>
        <v>19</v>
      </c>
    </row>
    <row r="1438" spans="1:13">
      <c r="A1438" t="str">
        <f t="shared" si="113"/>
        <v>美作大学3111女</v>
      </c>
      <c r="B1438" s="150" t="s">
        <v>1727</v>
      </c>
      <c r="C1438" s="150">
        <v>3111</v>
      </c>
      <c r="D1438" s="150" t="s">
        <v>4117</v>
      </c>
      <c r="E1438" s="150" t="s">
        <v>4511</v>
      </c>
      <c r="F1438" s="150" t="s">
        <v>265</v>
      </c>
      <c r="G1438" s="149" t="s">
        <v>840</v>
      </c>
      <c r="H1438" s="151" t="str">
        <f t="shared" si="114"/>
        <v>1994/07/08</v>
      </c>
      <c r="I1438" s="150" t="s">
        <v>301</v>
      </c>
      <c r="J1438" s="150" t="s">
        <v>509</v>
      </c>
      <c r="K1438" s="101" t="str">
        <f t="shared" si="110"/>
        <v>94</v>
      </c>
      <c r="L1438" s="101" t="str">
        <f t="shared" si="111"/>
        <v>07</v>
      </c>
      <c r="M1438" s="101" t="str">
        <f t="shared" si="112"/>
        <v>08</v>
      </c>
    </row>
    <row r="1439" spans="1:13">
      <c r="A1439" t="str">
        <f t="shared" si="113"/>
        <v>美作大学3112女</v>
      </c>
      <c r="B1439" s="150" t="s">
        <v>1727</v>
      </c>
      <c r="C1439" s="150">
        <v>3112</v>
      </c>
      <c r="D1439" s="150" t="s">
        <v>4118</v>
      </c>
      <c r="E1439" s="150" t="s">
        <v>4512</v>
      </c>
      <c r="F1439" s="150" t="s">
        <v>267</v>
      </c>
      <c r="G1439" s="149" t="s">
        <v>840</v>
      </c>
      <c r="H1439" s="151" t="str">
        <f t="shared" si="114"/>
        <v>1995/09/29</v>
      </c>
      <c r="I1439" s="150" t="s">
        <v>302</v>
      </c>
      <c r="J1439" s="150" t="s">
        <v>661</v>
      </c>
      <c r="K1439" s="101" t="str">
        <f t="shared" si="110"/>
        <v>95</v>
      </c>
      <c r="L1439" s="101" t="str">
        <f t="shared" si="111"/>
        <v>09</v>
      </c>
      <c r="M1439" s="101" t="str">
        <f t="shared" si="112"/>
        <v>29</v>
      </c>
    </row>
    <row r="1440" spans="1:13">
      <c r="A1440" t="str">
        <f t="shared" si="113"/>
        <v>美作大学3113女</v>
      </c>
      <c r="B1440" s="150" t="s">
        <v>1727</v>
      </c>
      <c r="C1440" s="150">
        <v>3113</v>
      </c>
      <c r="D1440" s="150" t="s">
        <v>4119</v>
      </c>
      <c r="E1440" s="150" t="s">
        <v>4513</v>
      </c>
      <c r="F1440" s="150" t="s">
        <v>267</v>
      </c>
      <c r="G1440" s="149" t="s">
        <v>840</v>
      </c>
      <c r="H1440" s="151" t="str">
        <f t="shared" si="114"/>
        <v>1995/07/26</v>
      </c>
      <c r="I1440" s="150" t="s">
        <v>295</v>
      </c>
      <c r="J1440" s="150" t="s">
        <v>446</v>
      </c>
      <c r="K1440" s="101" t="str">
        <f t="shared" si="110"/>
        <v>95</v>
      </c>
      <c r="L1440" s="101" t="str">
        <f t="shared" si="111"/>
        <v>07</v>
      </c>
      <c r="M1440" s="101" t="str">
        <f t="shared" si="112"/>
        <v>26</v>
      </c>
    </row>
    <row r="1441" spans="1:13">
      <c r="A1441" t="str">
        <f t="shared" si="113"/>
        <v>美作大学3114女</v>
      </c>
      <c r="B1441" s="150" t="s">
        <v>1727</v>
      </c>
      <c r="C1441" s="150">
        <v>3114</v>
      </c>
      <c r="D1441" s="150" t="s">
        <v>4120</v>
      </c>
      <c r="E1441" s="150" t="s">
        <v>4514</v>
      </c>
      <c r="F1441" s="150" t="s">
        <v>267</v>
      </c>
      <c r="G1441" s="149" t="s">
        <v>840</v>
      </c>
      <c r="H1441" s="151" t="str">
        <f t="shared" si="114"/>
        <v>1995/05/15</v>
      </c>
      <c r="I1441" s="150" t="s">
        <v>301</v>
      </c>
      <c r="J1441" s="150" t="s">
        <v>688</v>
      </c>
      <c r="K1441" s="101" t="str">
        <f t="shared" si="110"/>
        <v>95</v>
      </c>
      <c r="L1441" s="101" t="str">
        <f t="shared" si="111"/>
        <v>05</v>
      </c>
      <c r="M1441" s="101" t="str">
        <f t="shared" si="112"/>
        <v>15</v>
      </c>
    </row>
    <row r="1442" spans="1:13">
      <c r="A1442" t="str">
        <f t="shared" si="113"/>
        <v>美作大学3115女</v>
      </c>
      <c r="B1442" s="150" t="s">
        <v>1727</v>
      </c>
      <c r="C1442" s="150">
        <v>3115</v>
      </c>
      <c r="D1442" s="150" t="s">
        <v>4121</v>
      </c>
      <c r="E1442" s="150" t="s">
        <v>4515</v>
      </c>
      <c r="F1442" s="150" t="s">
        <v>267</v>
      </c>
      <c r="G1442" s="149" t="s">
        <v>840</v>
      </c>
      <c r="H1442" s="151" t="str">
        <f t="shared" si="114"/>
        <v>1995/12/20</v>
      </c>
      <c r="I1442" s="150" t="s">
        <v>299</v>
      </c>
      <c r="J1442" s="150" t="s">
        <v>602</v>
      </c>
      <c r="K1442" s="101" t="str">
        <f t="shared" ref="K1442:K1505" si="115">MID(J1442,1,2)</f>
        <v>95</v>
      </c>
      <c r="L1442" s="101" t="str">
        <f t="shared" ref="L1442:L1505" si="116">MID(J1442,3,2)</f>
        <v>12</v>
      </c>
      <c r="M1442" s="101" t="str">
        <f t="shared" ref="M1442:M1505" si="117">MID(J1442,5,2)</f>
        <v>20</v>
      </c>
    </row>
    <row r="1443" spans="1:13">
      <c r="A1443" t="str">
        <f t="shared" si="113"/>
        <v>美作大学3116女</v>
      </c>
      <c r="B1443" s="150" t="s">
        <v>1727</v>
      </c>
      <c r="C1443" s="150">
        <v>3116</v>
      </c>
      <c r="D1443" s="150" t="s">
        <v>4122</v>
      </c>
      <c r="E1443" s="150" t="s">
        <v>4516</v>
      </c>
      <c r="F1443" s="150" t="s">
        <v>267</v>
      </c>
      <c r="G1443" s="149" t="s">
        <v>840</v>
      </c>
      <c r="H1443" s="151" t="str">
        <f t="shared" si="114"/>
        <v>1995/09/25</v>
      </c>
      <c r="I1443" s="150" t="s">
        <v>302</v>
      </c>
      <c r="J1443" s="150" t="s">
        <v>362</v>
      </c>
      <c r="K1443" s="101" t="str">
        <f t="shared" si="115"/>
        <v>95</v>
      </c>
      <c r="L1443" s="101" t="str">
        <f t="shared" si="116"/>
        <v>09</v>
      </c>
      <c r="M1443" s="101" t="str">
        <f t="shared" si="117"/>
        <v>25</v>
      </c>
    </row>
    <row r="1444" spans="1:13">
      <c r="A1444" t="str">
        <f t="shared" si="113"/>
        <v>美作大学3117女</v>
      </c>
      <c r="B1444" s="150" t="s">
        <v>1727</v>
      </c>
      <c r="C1444" s="150">
        <v>3117</v>
      </c>
      <c r="D1444" s="150" t="s">
        <v>4123</v>
      </c>
      <c r="E1444" s="150" t="s">
        <v>4517</v>
      </c>
      <c r="F1444" s="150" t="s">
        <v>267</v>
      </c>
      <c r="G1444" s="149" t="s">
        <v>840</v>
      </c>
      <c r="H1444" s="151" t="str">
        <f t="shared" si="114"/>
        <v>1995/06/14</v>
      </c>
      <c r="I1444" s="150" t="s">
        <v>295</v>
      </c>
      <c r="J1444" s="150" t="s">
        <v>486</v>
      </c>
      <c r="K1444" s="101" t="str">
        <f t="shared" si="115"/>
        <v>95</v>
      </c>
      <c r="L1444" s="101" t="str">
        <f t="shared" si="116"/>
        <v>06</v>
      </c>
      <c r="M1444" s="101" t="str">
        <f t="shared" si="117"/>
        <v>14</v>
      </c>
    </row>
    <row r="1445" spans="1:13">
      <c r="A1445" t="str">
        <f t="shared" si="113"/>
        <v>美作大学3118女</v>
      </c>
      <c r="B1445" s="150" t="s">
        <v>1727</v>
      </c>
      <c r="C1445" s="150">
        <v>3118</v>
      </c>
      <c r="D1445" s="150" t="s">
        <v>4124</v>
      </c>
      <c r="E1445" s="150" t="s">
        <v>4518</v>
      </c>
      <c r="F1445" s="150" t="s">
        <v>280</v>
      </c>
      <c r="G1445" s="149" t="s">
        <v>840</v>
      </c>
      <c r="H1445" s="151" t="str">
        <f t="shared" si="114"/>
        <v>1997/01/11</v>
      </c>
      <c r="I1445" s="150" t="s">
        <v>299</v>
      </c>
      <c r="J1445" s="150" t="s">
        <v>4811</v>
      </c>
      <c r="K1445" s="101" t="str">
        <f t="shared" si="115"/>
        <v>97</v>
      </c>
      <c r="L1445" s="101" t="str">
        <f t="shared" si="116"/>
        <v>01</v>
      </c>
      <c r="M1445" s="101" t="str">
        <f t="shared" si="117"/>
        <v>11</v>
      </c>
    </row>
    <row r="1446" spans="1:13">
      <c r="A1446" t="str">
        <f t="shared" si="113"/>
        <v>美作大学3119女</v>
      </c>
      <c r="B1446" s="150" t="s">
        <v>1727</v>
      </c>
      <c r="C1446" s="150">
        <v>3119</v>
      </c>
      <c r="D1446" s="150" t="s">
        <v>4125</v>
      </c>
      <c r="E1446" s="150" t="s">
        <v>4519</v>
      </c>
      <c r="F1446" s="150" t="s">
        <v>280</v>
      </c>
      <c r="G1446" s="149" t="s">
        <v>840</v>
      </c>
      <c r="H1446" s="151" t="str">
        <f t="shared" si="114"/>
        <v>1996/09/25</v>
      </c>
      <c r="I1446" s="150" t="s">
        <v>295</v>
      </c>
      <c r="J1446" s="150" t="s">
        <v>746</v>
      </c>
      <c r="K1446" s="101" t="str">
        <f t="shared" si="115"/>
        <v>96</v>
      </c>
      <c r="L1446" s="101" t="str">
        <f t="shared" si="116"/>
        <v>09</v>
      </c>
      <c r="M1446" s="101" t="str">
        <f t="shared" si="117"/>
        <v>25</v>
      </c>
    </row>
    <row r="1447" spans="1:13">
      <c r="A1447" t="str">
        <f t="shared" si="113"/>
        <v>美作大学3120女</v>
      </c>
      <c r="B1447" s="150" t="s">
        <v>1727</v>
      </c>
      <c r="C1447" s="150">
        <v>3120</v>
      </c>
      <c r="D1447" s="150" t="s">
        <v>4126</v>
      </c>
      <c r="E1447" s="150" t="s">
        <v>4520</v>
      </c>
      <c r="F1447" s="150" t="s">
        <v>280</v>
      </c>
      <c r="G1447" s="149" t="s">
        <v>840</v>
      </c>
      <c r="H1447" s="151" t="str">
        <f t="shared" si="114"/>
        <v>1997/02/02</v>
      </c>
      <c r="I1447" s="150" t="s">
        <v>263</v>
      </c>
      <c r="J1447" s="150" t="s">
        <v>3991</v>
      </c>
      <c r="K1447" s="101" t="str">
        <f t="shared" si="115"/>
        <v>97</v>
      </c>
      <c r="L1447" s="101" t="str">
        <f t="shared" si="116"/>
        <v>02</v>
      </c>
      <c r="M1447" s="101" t="str">
        <f t="shared" si="117"/>
        <v>02</v>
      </c>
    </row>
    <row r="1448" spans="1:13">
      <c r="A1448" t="str">
        <f t="shared" si="113"/>
        <v>美作大学3121女</v>
      </c>
      <c r="B1448" s="150" t="s">
        <v>1727</v>
      </c>
      <c r="C1448" s="150">
        <v>3121</v>
      </c>
      <c r="D1448" s="150" t="s">
        <v>4127</v>
      </c>
      <c r="E1448" s="150" t="s">
        <v>4521</v>
      </c>
      <c r="F1448" s="150" t="s">
        <v>280</v>
      </c>
      <c r="G1448" s="149" t="s">
        <v>840</v>
      </c>
      <c r="H1448" s="151" t="str">
        <f t="shared" si="114"/>
        <v>1997/03/05</v>
      </c>
      <c r="I1448" s="150" t="s">
        <v>302</v>
      </c>
      <c r="J1448" s="150" t="s">
        <v>721</v>
      </c>
      <c r="K1448" s="101" t="str">
        <f t="shared" si="115"/>
        <v>97</v>
      </c>
      <c r="L1448" s="101" t="str">
        <f t="shared" si="116"/>
        <v>03</v>
      </c>
      <c r="M1448" s="101" t="str">
        <f t="shared" si="117"/>
        <v>05</v>
      </c>
    </row>
    <row r="1449" spans="1:13">
      <c r="A1449" t="str">
        <f t="shared" si="113"/>
        <v>津山工業高等専門学校3122女</v>
      </c>
      <c r="B1449" s="150" t="s">
        <v>1754</v>
      </c>
      <c r="C1449" s="150">
        <v>3122</v>
      </c>
      <c r="D1449" s="150" t="s">
        <v>4128</v>
      </c>
      <c r="E1449" s="150" t="s">
        <v>4522</v>
      </c>
      <c r="F1449" s="150" t="s">
        <v>260</v>
      </c>
      <c r="G1449" s="149" t="s">
        <v>840</v>
      </c>
      <c r="H1449" s="151" t="str">
        <f t="shared" si="114"/>
        <v>1996/10/17</v>
      </c>
      <c r="I1449" s="150" t="s">
        <v>299</v>
      </c>
      <c r="J1449" s="150" t="s">
        <v>4812</v>
      </c>
      <c r="K1449" s="101" t="str">
        <f t="shared" si="115"/>
        <v>96</v>
      </c>
      <c r="L1449" s="101" t="str">
        <f t="shared" si="116"/>
        <v>10</v>
      </c>
      <c r="M1449" s="101" t="str">
        <f t="shared" si="117"/>
        <v>17</v>
      </c>
    </row>
    <row r="1450" spans="1:13">
      <c r="A1450" t="str">
        <f t="shared" si="113"/>
        <v>高知大学3123女</v>
      </c>
      <c r="B1450" s="150" t="s">
        <v>1787</v>
      </c>
      <c r="C1450" s="150">
        <v>3123</v>
      </c>
      <c r="D1450" s="150" t="s">
        <v>4129</v>
      </c>
      <c r="E1450" s="150" t="s">
        <v>4523</v>
      </c>
      <c r="F1450" s="150" t="s">
        <v>260</v>
      </c>
      <c r="G1450" s="149" t="s">
        <v>840</v>
      </c>
      <c r="H1450" s="151" t="str">
        <f t="shared" si="114"/>
        <v>1993/10/11</v>
      </c>
      <c r="I1450" s="150" t="s">
        <v>289</v>
      </c>
      <c r="J1450" s="150" t="s">
        <v>458</v>
      </c>
      <c r="K1450" s="101" t="str">
        <f t="shared" si="115"/>
        <v>93</v>
      </c>
      <c r="L1450" s="101" t="str">
        <f t="shared" si="116"/>
        <v>10</v>
      </c>
      <c r="M1450" s="101" t="str">
        <f t="shared" si="117"/>
        <v>11</v>
      </c>
    </row>
    <row r="1451" spans="1:13">
      <c r="A1451" t="str">
        <f t="shared" si="113"/>
        <v>高知大学3124女</v>
      </c>
      <c r="B1451" s="150" t="s">
        <v>1787</v>
      </c>
      <c r="C1451" s="150">
        <v>3124</v>
      </c>
      <c r="D1451" s="150" t="s">
        <v>4130</v>
      </c>
      <c r="E1451" s="150" t="s">
        <v>4524</v>
      </c>
      <c r="F1451" s="150" t="s">
        <v>260</v>
      </c>
      <c r="G1451" s="149" t="s">
        <v>840</v>
      </c>
      <c r="H1451" s="151" t="str">
        <f t="shared" si="114"/>
        <v>1993/08/19</v>
      </c>
      <c r="I1451" s="150" t="s">
        <v>263</v>
      </c>
      <c r="J1451" s="150" t="s">
        <v>4813</v>
      </c>
      <c r="K1451" s="101" t="str">
        <f t="shared" si="115"/>
        <v>93</v>
      </c>
      <c r="L1451" s="101" t="str">
        <f t="shared" si="116"/>
        <v>08</v>
      </c>
      <c r="M1451" s="101" t="str">
        <f t="shared" si="117"/>
        <v>19</v>
      </c>
    </row>
    <row r="1452" spans="1:13">
      <c r="A1452" t="str">
        <f t="shared" si="113"/>
        <v>高知大学3125女</v>
      </c>
      <c r="B1452" s="150" t="s">
        <v>1787</v>
      </c>
      <c r="C1452" s="150">
        <v>3125</v>
      </c>
      <c r="D1452" s="150" t="s">
        <v>4131</v>
      </c>
      <c r="E1452" s="150" t="s">
        <v>4525</v>
      </c>
      <c r="F1452" s="150" t="s">
        <v>265</v>
      </c>
      <c r="G1452" s="149" t="s">
        <v>840</v>
      </c>
      <c r="H1452" s="151" t="str">
        <f t="shared" si="114"/>
        <v>1993/06/15</v>
      </c>
      <c r="I1452" s="150" t="s">
        <v>263</v>
      </c>
      <c r="J1452" s="150" t="s">
        <v>570</v>
      </c>
      <c r="K1452" s="101" t="str">
        <f t="shared" si="115"/>
        <v>93</v>
      </c>
      <c r="L1452" s="101" t="str">
        <f t="shared" si="116"/>
        <v>06</v>
      </c>
      <c r="M1452" s="101" t="str">
        <f t="shared" si="117"/>
        <v>15</v>
      </c>
    </row>
    <row r="1453" spans="1:13">
      <c r="A1453" t="str">
        <f t="shared" si="113"/>
        <v>高知大学3126女</v>
      </c>
      <c r="B1453" s="150" t="s">
        <v>1787</v>
      </c>
      <c r="C1453" s="150">
        <v>3126</v>
      </c>
      <c r="D1453" s="150" t="s">
        <v>4132</v>
      </c>
      <c r="E1453" s="150" t="s">
        <v>4526</v>
      </c>
      <c r="F1453" s="150" t="s">
        <v>265</v>
      </c>
      <c r="G1453" s="149" t="s">
        <v>840</v>
      </c>
      <c r="H1453" s="151" t="str">
        <f t="shared" si="114"/>
        <v>1994/07/06</v>
      </c>
      <c r="I1453" s="150" t="s">
        <v>263</v>
      </c>
      <c r="J1453" s="150" t="s">
        <v>590</v>
      </c>
      <c r="K1453" s="101" t="str">
        <f t="shared" si="115"/>
        <v>94</v>
      </c>
      <c r="L1453" s="101" t="str">
        <f t="shared" si="116"/>
        <v>07</v>
      </c>
      <c r="M1453" s="101" t="str">
        <f t="shared" si="117"/>
        <v>06</v>
      </c>
    </row>
    <row r="1454" spans="1:13">
      <c r="A1454" t="str">
        <f t="shared" si="113"/>
        <v>高知大学3127女</v>
      </c>
      <c r="B1454" s="150" t="s">
        <v>1787</v>
      </c>
      <c r="C1454" s="150">
        <v>3127</v>
      </c>
      <c r="D1454" s="150" t="s">
        <v>4133</v>
      </c>
      <c r="E1454" s="150" t="s">
        <v>4527</v>
      </c>
      <c r="F1454" s="150" t="s">
        <v>265</v>
      </c>
      <c r="G1454" s="149" t="s">
        <v>840</v>
      </c>
      <c r="H1454" s="151" t="str">
        <f t="shared" si="114"/>
        <v>1994/09/23</v>
      </c>
      <c r="I1454" s="150" t="s">
        <v>263</v>
      </c>
      <c r="J1454" s="150" t="s">
        <v>3777</v>
      </c>
      <c r="K1454" s="101" t="str">
        <f t="shared" si="115"/>
        <v>94</v>
      </c>
      <c r="L1454" s="101" t="str">
        <f t="shared" si="116"/>
        <v>09</v>
      </c>
      <c r="M1454" s="101" t="str">
        <f t="shared" si="117"/>
        <v>23</v>
      </c>
    </row>
    <row r="1455" spans="1:13">
      <c r="A1455" t="str">
        <f t="shared" si="113"/>
        <v>高知大学3128女</v>
      </c>
      <c r="B1455" s="150" t="s">
        <v>1787</v>
      </c>
      <c r="C1455" s="150">
        <v>3128</v>
      </c>
      <c r="D1455" s="150" t="s">
        <v>4134</v>
      </c>
      <c r="E1455" s="150" t="s">
        <v>4528</v>
      </c>
      <c r="F1455" s="150" t="s">
        <v>265</v>
      </c>
      <c r="G1455" s="149" t="s">
        <v>840</v>
      </c>
      <c r="H1455" s="151" t="str">
        <f t="shared" si="114"/>
        <v>1994/08/23</v>
      </c>
      <c r="I1455" s="150" t="s">
        <v>263</v>
      </c>
      <c r="J1455" s="150" t="s">
        <v>3843</v>
      </c>
      <c r="K1455" s="101" t="str">
        <f t="shared" si="115"/>
        <v>94</v>
      </c>
      <c r="L1455" s="101" t="str">
        <f t="shared" si="116"/>
        <v>08</v>
      </c>
      <c r="M1455" s="101" t="str">
        <f t="shared" si="117"/>
        <v>23</v>
      </c>
    </row>
    <row r="1456" spans="1:13">
      <c r="A1456" t="str">
        <f t="shared" si="113"/>
        <v>高知大学3129女</v>
      </c>
      <c r="B1456" s="150" t="s">
        <v>1787</v>
      </c>
      <c r="C1456" s="150">
        <v>3129</v>
      </c>
      <c r="D1456" s="150" t="s">
        <v>4135</v>
      </c>
      <c r="E1456" s="150" t="s">
        <v>4529</v>
      </c>
      <c r="F1456" s="150" t="s">
        <v>265</v>
      </c>
      <c r="G1456" s="149" t="s">
        <v>840</v>
      </c>
      <c r="H1456" s="151" t="str">
        <f t="shared" si="114"/>
        <v>1994/09/19</v>
      </c>
      <c r="I1456" s="150" t="s">
        <v>263</v>
      </c>
      <c r="J1456" s="150" t="s">
        <v>418</v>
      </c>
      <c r="K1456" s="101" t="str">
        <f t="shared" si="115"/>
        <v>94</v>
      </c>
      <c r="L1456" s="101" t="str">
        <f t="shared" si="116"/>
        <v>09</v>
      </c>
      <c r="M1456" s="101" t="str">
        <f t="shared" si="117"/>
        <v>19</v>
      </c>
    </row>
    <row r="1457" spans="1:13">
      <c r="A1457" t="str">
        <f t="shared" si="113"/>
        <v>高知大学3130女</v>
      </c>
      <c r="B1457" s="150" t="s">
        <v>1787</v>
      </c>
      <c r="C1457" s="150">
        <v>3130</v>
      </c>
      <c r="D1457" s="150" t="s">
        <v>4136</v>
      </c>
      <c r="E1457" s="150" t="s">
        <v>4530</v>
      </c>
      <c r="F1457" s="150" t="s">
        <v>267</v>
      </c>
      <c r="G1457" s="149" t="s">
        <v>840</v>
      </c>
      <c r="H1457" s="151" t="str">
        <f t="shared" si="114"/>
        <v>1995/11/24</v>
      </c>
      <c r="I1457" s="150" t="s">
        <v>263</v>
      </c>
      <c r="J1457" s="150" t="s">
        <v>497</v>
      </c>
      <c r="K1457" s="101" t="str">
        <f t="shared" si="115"/>
        <v>95</v>
      </c>
      <c r="L1457" s="101" t="str">
        <f t="shared" si="116"/>
        <v>11</v>
      </c>
      <c r="M1457" s="101" t="str">
        <f t="shared" si="117"/>
        <v>24</v>
      </c>
    </row>
    <row r="1458" spans="1:13">
      <c r="A1458" t="str">
        <f t="shared" si="113"/>
        <v>高知大学3131女</v>
      </c>
      <c r="B1458" s="150" t="s">
        <v>1787</v>
      </c>
      <c r="C1458" s="150">
        <v>3131</v>
      </c>
      <c r="D1458" s="150" t="s">
        <v>4137</v>
      </c>
      <c r="E1458" s="150" t="s">
        <v>4531</v>
      </c>
      <c r="F1458" s="150" t="s">
        <v>267</v>
      </c>
      <c r="G1458" s="149" t="s">
        <v>840</v>
      </c>
      <c r="H1458" s="151" t="str">
        <f t="shared" si="114"/>
        <v>1996/01/28</v>
      </c>
      <c r="I1458" s="150" t="s">
        <v>263</v>
      </c>
      <c r="J1458" s="150" t="s">
        <v>3693</v>
      </c>
      <c r="K1458" s="101" t="str">
        <f t="shared" si="115"/>
        <v>96</v>
      </c>
      <c r="L1458" s="101" t="str">
        <f t="shared" si="116"/>
        <v>01</v>
      </c>
      <c r="M1458" s="101" t="str">
        <f t="shared" si="117"/>
        <v>28</v>
      </c>
    </row>
    <row r="1459" spans="1:13">
      <c r="A1459" t="str">
        <f t="shared" si="113"/>
        <v>高知大学3132女</v>
      </c>
      <c r="B1459" s="150" t="s">
        <v>1787</v>
      </c>
      <c r="C1459" s="150">
        <v>3132</v>
      </c>
      <c r="D1459" s="150" t="s">
        <v>4138</v>
      </c>
      <c r="E1459" s="150" t="s">
        <v>4532</v>
      </c>
      <c r="F1459" s="150" t="s">
        <v>260</v>
      </c>
      <c r="G1459" s="149" t="s">
        <v>840</v>
      </c>
      <c r="H1459" s="151" t="str">
        <f t="shared" si="114"/>
        <v>1993/09/19</v>
      </c>
      <c r="I1459" s="150" t="s">
        <v>263</v>
      </c>
      <c r="J1459" s="150" t="s">
        <v>4814</v>
      </c>
      <c r="K1459" s="101" t="str">
        <f t="shared" si="115"/>
        <v>93</v>
      </c>
      <c r="L1459" s="101" t="str">
        <f t="shared" si="116"/>
        <v>09</v>
      </c>
      <c r="M1459" s="101" t="str">
        <f t="shared" si="117"/>
        <v>19</v>
      </c>
    </row>
    <row r="1460" spans="1:13">
      <c r="A1460" t="str">
        <f t="shared" si="113"/>
        <v>高知大学3133女</v>
      </c>
      <c r="B1460" s="150" t="s">
        <v>1787</v>
      </c>
      <c r="C1460" s="150">
        <v>3133</v>
      </c>
      <c r="D1460" s="150" t="s">
        <v>4139</v>
      </c>
      <c r="E1460" s="150" t="s">
        <v>4533</v>
      </c>
      <c r="F1460" s="150" t="s">
        <v>279</v>
      </c>
      <c r="G1460" s="149" t="s">
        <v>840</v>
      </c>
      <c r="H1460" s="151" t="str">
        <f t="shared" si="114"/>
        <v>1991/12/19</v>
      </c>
      <c r="I1460" s="150" t="s">
        <v>263</v>
      </c>
      <c r="J1460" s="150" t="s">
        <v>4815</v>
      </c>
      <c r="K1460" s="101" t="str">
        <f t="shared" si="115"/>
        <v>91</v>
      </c>
      <c r="L1460" s="101" t="str">
        <f t="shared" si="116"/>
        <v>12</v>
      </c>
      <c r="M1460" s="101" t="str">
        <f t="shared" si="117"/>
        <v>19</v>
      </c>
    </row>
    <row r="1461" spans="1:13">
      <c r="A1461" t="str">
        <f t="shared" si="113"/>
        <v>高知大学3134女</v>
      </c>
      <c r="B1461" s="150" t="s">
        <v>1787</v>
      </c>
      <c r="C1461" s="150">
        <v>3134</v>
      </c>
      <c r="D1461" s="150" t="s">
        <v>4140</v>
      </c>
      <c r="E1461" s="150" t="s">
        <v>4534</v>
      </c>
      <c r="F1461" s="150" t="s">
        <v>260</v>
      </c>
      <c r="G1461" s="149" t="s">
        <v>840</v>
      </c>
      <c r="H1461" s="151" t="str">
        <f t="shared" si="114"/>
        <v>1993/12/16</v>
      </c>
      <c r="I1461" s="150" t="s">
        <v>302</v>
      </c>
      <c r="J1461" s="150" t="s">
        <v>888</v>
      </c>
      <c r="K1461" s="101" t="str">
        <f t="shared" si="115"/>
        <v>93</v>
      </c>
      <c r="L1461" s="101" t="str">
        <f t="shared" si="116"/>
        <v>12</v>
      </c>
      <c r="M1461" s="101" t="str">
        <f t="shared" si="117"/>
        <v>16</v>
      </c>
    </row>
    <row r="1462" spans="1:13">
      <c r="A1462" t="str">
        <f t="shared" si="113"/>
        <v>高知大学3135女</v>
      </c>
      <c r="B1462" s="150" t="s">
        <v>1787</v>
      </c>
      <c r="C1462" s="150">
        <v>3135</v>
      </c>
      <c r="D1462" s="150" t="s">
        <v>4141</v>
      </c>
      <c r="E1462" s="150" t="s">
        <v>4535</v>
      </c>
      <c r="F1462" s="150" t="s">
        <v>260</v>
      </c>
      <c r="G1462" s="149" t="s">
        <v>840</v>
      </c>
      <c r="H1462" s="151" t="str">
        <f t="shared" si="114"/>
        <v>1994/03/05</v>
      </c>
      <c r="I1462" s="150" t="s">
        <v>263</v>
      </c>
      <c r="J1462" s="150" t="s">
        <v>4816</v>
      </c>
      <c r="K1462" s="101" t="str">
        <f t="shared" si="115"/>
        <v>94</v>
      </c>
      <c r="L1462" s="101" t="str">
        <f t="shared" si="116"/>
        <v>03</v>
      </c>
      <c r="M1462" s="101" t="str">
        <f t="shared" si="117"/>
        <v>05</v>
      </c>
    </row>
    <row r="1463" spans="1:13">
      <c r="A1463" t="str">
        <f t="shared" si="113"/>
        <v>高知大学3136女</v>
      </c>
      <c r="B1463" s="150" t="s">
        <v>1787</v>
      </c>
      <c r="C1463" s="150">
        <v>3136</v>
      </c>
      <c r="D1463" s="150" t="s">
        <v>4142</v>
      </c>
      <c r="E1463" s="150" t="s">
        <v>4536</v>
      </c>
      <c r="F1463" s="150" t="s">
        <v>265</v>
      </c>
      <c r="G1463" s="149" t="s">
        <v>840</v>
      </c>
      <c r="H1463" s="151" t="str">
        <f t="shared" si="114"/>
        <v>1994/08/23</v>
      </c>
      <c r="I1463" s="150" t="s">
        <v>263</v>
      </c>
      <c r="J1463" s="150" t="s">
        <v>3843</v>
      </c>
      <c r="K1463" s="101" t="str">
        <f t="shared" si="115"/>
        <v>94</v>
      </c>
      <c r="L1463" s="101" t="str">
        <f t="shared" si="116"/>
        <v>08</v>
      </c>
      <c r="M1463" s="101" t="str">
        <f t="shared" si="117"/>
        <v>23</v>
      </c>
    </row>
    <row r="1464" spans="1:13">
      <c r="A1464" t="str">
        <f t="shared" si="113"/>
        <v>高知大学3137女</v>
      </c>
      <c r="B1464" s="150" t="s">
        <v>1787</v>
      </c>
      <c r="C1464" s="150">
        <v>3137</v>
      </c>
      <c r="D1464" s="150" t="s">
        <v>4143</v>
      </c>
      <c r="E1464" s="150" t="s">
        <v>4537</v>
      </c>
      <c r="F1464" s="150" t="s">
        <v>265</v>
      </c>
      <c r="G1464" s="149" t="s">
        <v>840</v>
      </c>
      <c r="H1464" s="151" t="str">
        <f t="shared" si="114"/>
        <v>1994/12/29</v>
      </c>
      <c r="I1464" s="150" t="s">
        <v>263</v>
      </c>
      <c r="J1464" s="150" t="s">
        <v>3662</v>
      </c>
      <c r="K1464" s="101" t="str">
        <f t="shared" si="115"/>
        <v>94</v>
      </c>
      <c r="L1464" s="101" t="str">
        <f t="shared" si="116"/>
        <v>12</v>
      </c>
      <c r="M1464" s="101" t="str">
        <f t="shared" si="117"/>
        <v>29</v>
      </c>
    </row>
    <row r="1465" spans="1:13">
      <c r="A1465" t="str">
        <f t="shared" si="113"/>
        <v>高知大学3138女</v>
      </c>
      <c r="B1465" s="150" t="s">
        <v>1787</v>
      </c>
      <c r="C1465" s="150">
        <v>3138</v>
      </c>
      <c r="D1465" s="150" t="s">
        <v>4144</v>
      </c>
      <c r="E1465" s="150" t="s">
        <v>4538</v>
      </c>
      <c r="F1465" s="150" t="s">
        <v>265</v>
      </c>
      <c r="G1465" s="149" t="s">
        <v>840</v>
      </c>
      <c r="H1465" s="151" t="str">
        <f t="shared" si="114"/>
        <v>1994/01/08</v>
      </c>
      <c r="I1465" s="150" t="s">
        <v>263</v>
      </c>
      <c r="J1465" s="150" t="s">
        <v>368</v>
      </c>
      <c r="K1465" s="101" t="str">
        <f t="shared" si="115"/>
        <v>94</v>
      </c>
      <c r="L1465" s="101" t="str">
        <f t="shared" si="116"/>
        <v>01</v>
      </c>
      <c r="M1465" s="101" t="str">
        <f t="shared" si="117"/>
        <v>08</v>
      </c>
    </row>
    <row r="1466" spans="1:13">
      <c r="A1466" t="str">
        <f t="shared" si="113"/>
        <v>高知大学3139女</v>
      </c>
      <c r="B1466" s="150" t="s">
        <v>1787</v>
      </c>
      <c r="C1466" s="150">
        <v>3139</v>
      </c>
      <c r="D1466" s="150" t="s">
        <v>4145</v>
      </c>
      <c r="E1466" s="150" t="s">
        <v>4539</v>
      </c>
      <c r="F1466" s="150" t="s">
        <v>267</v>
      </c>
      <c r="G1466" s="149" t="s">
        <v>840</v>
      </c>
      <c r="H1466" s="151" t="str">
        <f t="shared" si="114"/>
        <v>1994/08/09</v>
      </c>
      <c r="I1466" s="150" t="s">
        <v>263</v>
      </c>
      <c r="J1466" s="150" t="s">
        <v>339</v>
      </c>
      <c r="K1466" s="101" t="str">
        <f t="shared" si="115"/>
        <v>94</v>
      </c>
      <c r="L1466" s="101" t="str">
        <f t="shared" si="116"/>
        <v>08</v>
      </c>
      <c r="M1466" s="101" t="str">
        <f t="shared" si="117"/>
        <v>09</v>
      </c>
    </row>
    <row r="1467" spans="1:13">
      <c r="A1467" t="str">
        <f t="shared" si="113"/>
        <v>高知大学3140女</v>
      </c>
      <c r="B1467" s="150" t="s">
        <v>1787</v>
      </c>
      <c r="C1467" s="150">
        <v>3140</v>
      </c>
      <c r="D1467" s="150" t="s">
        <v>4146</v>
      </c>
      <c r="E1467" s="150" t="s">
        <v>4540</v>
      </c>
      <c r="F1467" s="150" t="s">
        <v>267</v>
      </c>
      <c r="G1467" s="149" t="s">
        <v>840</v>
      </c>
      <c r="H1467" s="151" t="str">
        <f t="shared" si="114"/>
        <v>1994/08/15</v>
      </c>
      <c r="I1467" s="150" t="s">
        <v>263</v>
      </c>
      <c r="J1467" s="150" t="s">
        <v>4817</v>
      </c>
      <c r="K1467" s="101" t="str">
        <f t="shared" si="115"/>
        <v>94</v>
      </c>
      <c r="L1467" s="101" t="str">
        <f t="shared" si="116"/>
        <v>08</v>
      </c>
      <c r="M1467" s="101" t="str">
        <f t="shared" si="117"/>
        <v>15</v>
      </c>
    </row>
    <row r="1468" spans="1:13">
      <c r="A1468" t="str">
        <f t="shared" si="113"/>
        <v>高知大学3141女</v>
      </c>
      <c r="B1468" s="150" t="s">
        <v>1787</v>
      </c>
      <c r="C1468" s="150">
        <v>3141</v>
      </c>
      <c r="D1468" s="150" t="s">
        <v>4147</v>
      </c>
      <c r="E1468" s="150" t="s">
        <v>4541</v>
      </c>
      <c r="F1468" s="150" t="s">
        <v>267</v>
      </c>
      <c r="G1468" s="149" t="s">
        <v>840</v>
      </c>
      <c r="H1468" s="151" t="str">
        <f t="shared" si="114"/>
        <v>1996/01/05</v>
      </c>
      <c r="I1468" s="150" t="s">
        <v>263</v>
      </c>
      <c r="J1468" s="150" t="s">
        <v>924</v>
      </c>
      <c r="K1468" s="101" t="str">
        <f t="shared" si="115"/>
        <v>96</v>
      </c>
      <c r="L1468" s="101" t="str">
        <f t="shared" si="116"/>
        <v>01</v>
      </c>
      <c r="M1468" s="101" t="str">
        <f t="shared" si="117"/>
        <v>05</v>
      </c>
    </row>
    <row r="1469" spans="1:13">
      <c r="A1469" t="str">
        <f t="shared" si="113"/>
        <v>高知大学3142女</v>
      </c>
      <c r="B1469" s="150" t="s">
        <v>1787</v>
      </c>
      <c r="C1469" s="150">
        <v>3142</v>
      </c>
      <c r="D1469" s="150" t="s">
        <v>4148</v>
      </c>
      <c r="E1469" s="150" t="s">
        <v>4542</v>
      </c>
      <c r="F1469" s="150" t="s">
        <v>267</v>
      </c>
      <c r="G1469" s="149" t="s">
        <v>840</v>
      </c>
      <c r="H1469" s="151" t="str">
        <f t="shared" si="114"/>
        <v>1995/06/02</v>
      </c>
      <c r="I1469" s="150" t="s">
        <v>263</v>
      </c>
      <c r="J1469" s="150" t="s">
        <v>360</v>
      </c>
      <c r="K1469" s="101" t="str">
        <f t="shared" si="115"/>
        <v>95</v>
      </c>
      <c r="L1469" s="101" t="str">
        <f t="shared" si="116"/>
        <v>06</v>
      </c>
      <c r="M1469" s="101" t="str">
        <f t="shared" si="117"/>
        <v>02</v>
      </c>
    </row>
    <row r="1470" spans="1:13">
      <c r="A1470" t="str">
        <f t="shared" si="113"/>
        <v>高知大学3143女</v>
      </c>
      <c r="B1470" s="150" t="s">
        <v>1787</v>
      </c>
      <c r="C1470" s="150">
        <v>3143</v>
      </c>
      <c r="D1470" s="150" t="s">
        <v>4149</v>
      </c>
      <c r="E1470" s="150" t="s">
        <v>4543</v>
      </c>
      <c r="F1470" s="150" t="s">
        <v>293</v>
      </c>
      <c r="G1470" s="149" t="s">
        <v>840</v>
      </c>
      <c r="H1470" s="151" t="str">
        <f t="shared" si="114"/>
        <v>1983/03/05</v>
      </c>
      <c r="I1470" s="150" t="s">
        <v>263</v>
      </c>
      <c r="J1470" s="150" t="s">
        <v>4818</v>
      </c>
      <c r="K1470" s="101" t="str">
        <f t="shared" si="115"/>
        <v>83</v>
      </c>
      <c r="L1470" s="101" t="str">
        <f t="shared" si="116"/>
        <v>03</v>
      </c>
      <c r="M1470" s="101" t="str">
        <f t="shared" si="117"/>
        <v>05</v>
      </c>
    </row>
    <row r="1471" spans="1:13">
      <c r="A1471" t="str">
        <f t="shared" si="113"/>
        <v>香川大学3144女</v>
      </c>
      <c r="B1471" s="150" t="s">
        <v>1895</v>
      </c>
      <c r="C1471" s="150">
        <v>3144</v>
      </c>
      <c r="D1471" s="150" t="s">
        <v>4150</v>
      </c>
      <c r="E1471" s="150" t="s">
        <v>4544</v>
      </c>
      <c r="F1471" s="150" t="s">
        <v>267</v>
      </c>
      <c r="G1471" s="149" t="s">
        <v>840</v>
      </c>
      <c r="H1471" s="151" t="str">
        <f t="shared" si="114"/>
        <v>1995/04/27</v>
      </c>
      <c r="I1471" s="150" t="s">
        <v>289</v>
      </c>
      <c r="J1471" s="150" t="s">
        <v>527</v>
      </c>
      <c r="K1471" s="101" t="str">
        <f t="shared" si="115"/>
        <v>95</v>
      </c>
      <c r="L1471" s="101" t="str">
        <f t="shared" si="116"/>
        <v>04</v>
      </c>
      <c r="M1471" s="101" t="str">
        <f t="shared" si="117"/>
        <v>27</v>
      </c>
    </row>
    <row r="1472" spans="1:13">
      <c r="A1472" t="str">
        <f t="shared" si="113"/>
        <v>香川大学3145女</v>
      </c>
      <c r="B1472" s="150" t="s">
        <v>1895</v>
      </c>
      <c r="C1472" s="150">
        <v>3145</v>
      </c>
      <c r="D1472" s="150" t="s">
        <v>4151</v>
      </c>
      <c r="E1472" s="150" t="s">
        <v>4545</v>
      </c>
      <c r="F1472" s="150" t="s">
        <v>267</v>
      </c>
      <c r="G1472" s="149" t="s">
        <v>840</v>
      </c>
      <c r="H1472" s="151" t="str">
        <f t="shared" si="114"/>
        <v>1995/07/07</v>
      </c>
      <c r="I1472" s="150" t="s">
        <v>289</v>
      </c>
      <c r="J1472" s="150" t="s">
        <v>3645</v>
      </c>
      <c r="K1472" s="101" t="str">
        <f t="shared" si="115"/>
        <v>95</v>
      </c>
      <c r="L1472" s="101" t="str">
        <f t="shared" si="116"/>
        <v>07</v>
      </c>
      <c r="M1472" s="101" t="str">
        <f t="shared" si="117"/>
        <v>07</v>
      </c>
    </row>
    <row r="1473" spans="1:13">
      <c r="A1473" t="str">
        <f t="shared" si="113"/>
        <v>香川大学3146女</v>
      </c>
      <c r="B1473" s="150" t="s">
        <v>1895</v>
      </c>
      <c r="C1473" s="150">
        <v>3146</v>
      </c>
      <c r="D1473" s="150" t="s">
        <v>4152</v>
      </c>
      <c r="E1473" s="150" t="s">
        <v>4546</v>
      </c>
      <c r="F1473" s="150" t="s">
        <v>267</v>
      </c>
      <c r="G1473" s="149" t="s">
        <v>840</v>
      </c>
      <c r="H1473" s="151" t="str">
        <f t="shared" si="114"/>
        <v>1996/01/16</v>
      </c>
      <c r="I1473" s="150" t="s">
        <v>289</v>
      </c>
      <c r="J1473" s="150" t="s">
        <v>614</v>
      </c>
      <c r="K1473" s="101" t="str">
        <f t="shared" si="115"/>
        <v>96</v>
      </c>
      <c r="L1473" s="101" t="str">
        <f t="shared" si="116"/>
        <v>01</v>
      </c>
      <c r="M1473" s="101" t="str">
        <f t="shared" si="117"/>
        <v>16</v>
      </c>
    </row>
    <row r="1474" spans="1:13">
      <c r="A1474" t="str">
        <f t="shared" ref="A1474:A1537" si="118">B1474&amp;C1474&amp;G1474</f>
        <v>香川大学3147女</v>
      </c>
      <c r="B1474" s="150" t="s">
        <v>1895</v>
      </c>
      <c r="C1474" s="150">
        <v>3147</v>
      </c>
      <c r="D1474" s="150" t="s">
        <v>4153</v>
      </c>
      <c r="E1474" s="150" t="s">
        <v>4547</v>
      </c>
      <c r="F1474" s="150" t="s">
        <v>265</v>
      </c>
      <c r="G1474" s="149" t="s">
        <v>840</v>
      </c>
      <c r="H1474" s="151" t="str">
        <f t="shared" si="114"/>
        <v>1994/09/25</v>
      </c>
      <c r="I1474" s="150" t="s">
        <v>289</v>
      </c>
      <c r="J1474" s="150" t="s">
        <v>842</v>
      </c>
      <c r="K1474" s="101" t="str">
        <f t="shared" si="115"/>
        <v>94</v>
      </c>
      <c r="L1474" s="101" t="str">
        <f t="shared" si="116"/>
        <v>09</v>
      </c>
      <c r="M1474" s="101" t="str">
        <f t="shared" si="117"/>
        <v>25</v>
      </c>
    </row>
    <row r="1475" spans="1:13">
      <c r="A1475" t="str">
        <f t="shared" si="118"/>
        <v>香川大学3148女</v>
      </c>
      <c r="B1475" s="150" t="s">
        <v>1895</v>
      </c>
      <c r="C1475" s="150">
        <v>3148</v>
      </c>
      <c r="D1475" s="150" t="s">
        <v>4154</v>
      </c>
      <c r="E1475" s="150" t="s">
        <v>4548</v>
      </c>
      <c r="F1475" s="150" t="s">
        <v>265</v>
      </c>
      <c r="G1475" s="149" t="s">
        <v>840</v>
      </c>
      <c r="H1475" s="151" t="str">
        <f t="shared" ref="H1475:H1538" si="119">"19"&amp;K1475&amp;"/"&amp;L1475&amp;"/"&amp;M1475</f>
        <v>1995/02/24</v>
      </c>
      <c r="I1475" s="150" t="s">
        <v>289</v>
      </c>
      <c r="J1475" s="150" t="s">
        <v>3710</v>
      </c>
      <c r="K1475" s="101" t="str">
        <f t="shared" si="115"/>
        <v>95</v>
      </c>
      <c r="L1475" s="101" t="str">
        <f t="shared" si="116"/>
        <v>02</v>
      </c>
      <c r="M1475" s="101" t="str">
        <f t="shared" si="117"/>
        <v>24</v>
      </c>
    </row>
    <row r="1476" spans="1:13">
      <c r="A1476" t="str">
        <f t="shared" si="118"/>
        <v>香川大学3149女</v>
      </c>
      <c r="B1476" s="150" t="s">
        <v>1895</v>
      </c>
      <c r="C1476" s="150">
        <v>3149</v>
      </c>
      <c r="D1476" s="150" t="s">
        <v>4155</v>
      </c>
      <c r="E1476" s="150" t="s">
        <v>4549</v>
      </c>
      <c r="F1476" s="150" t="s">
        <v>260</v>
      </c>
      <c r="G1476" s="149" t="s">
        <v>840</v>
      </c>
      <c r="H1476" s="151" t="str">
        <f t="shared" si="119"/>
        <v>1993/04/14</v>
      </c>
      <c r="I1476" s="150" t="s">
        <v>289</v>
      </c>
      <c r="J1476" s="150" t="s">
        <v>576</v>
      </c>
      <c r="K1476" s="101" t="str">
        <f t="shared" si="115"/>
        <v>93</v>
      </c>
      <c r="L1476" s="101" t="str">
        <f t="shared" si="116"/>
        <v>04</v>
      </c>
      <c r="M1476" s="101" t="str">
        <f t="shared" si="117"/>
        <v>14</v>
      </c>
    </row>
    <row r="1477" spans="1:13">
      <c r="A1477" t="str">
        <f t="shared" si="118"/>
        <v>香川大学3150女</v>
      </c>
      <c r="B1477" s="150" t="s">
        <v>1895</v>
      </c>
      <c r="C1477" s="150">
        <v>3150</v>
      </c>
      <c r="D1477" s="150" t="s">
        <v>4156</v>
      </c>
      <c r="E1477" s="150" t="s">
        <v>4550</v>
      </c>
      <c r="F1477" s="150" t="s">
        <v>267</v>
      </c>
      <c r="G1477" s="149" t="s">
        <v>840</v>
      </c>
      <c r="H1477" s="151" t="str">
        <f t="shared" si="119"/>
        <v>1995/09/02</v>
      </c>
      <c r="I1477" s="150" t="s">
        <v>289</v>
      </c>
      <c r="J1477" s="150" t="s">
        <v>781</v>
      </c>
      <c r="K1477" s="101" t="str">
        <f t="shared" si="115"/>
        <v>95</v>
      </c>
      <c r="L1477" s="101" t="str">
        <f t="shared" si="116"/>
        <v>09</v>
      </c>
      <c r="M1477" s="101" t="str">
        <f t="shared" si="117"/>
        <v>02</v>
      </c>
    </row>
    <row r="1478" spans="1:13">
      <c r="A1478" t="str">
        <f t="shared" si="118"/>
        <v>香川大学3151女</v>
      </c>
      <c r="B1478" s="150" t="s">
        <v>1895</v>
      </c>
      <c r="C1478" s="150">
        <v>3151</v>
      </c>
      <c r="D1478" s="150" t="s">
        <v>4157</v>
      </c>
      <c r="E1478" s="150" t="s">
        <v>4551</v>
      </c>
      <c r="F1478" s="150" t="s">
        <v>260</v>
      </c>
      <c r="G1478" s="149" t="s">
        <v>840</v>
      </c>
      <c r="H1478" s="151" t="str">
        <f t="shared" si="119"/>
        <v>1993/07/14</v>
      </c>
      <c r="I1478" s="150" t="s">
        <v>289</v>
      </c>
      <c r="J1478" s="150" t="s">
        <v>546</v>
      </c>
      <c r="K1478" s="101" t="str">
        <f t="shared" si="115"/>
        <v>93</v>
      </c>
      <c r="L1478" s="101" t="str">
        <f t="shared" si="116"/>
        <v>07</v>
      </c>
      <c r="M1478" s="101" t="str">
        <f t="shared" si="117"/>
        <v>14</v>
      </c>
    </row>
    <row r="1479" spans="1:13">
      <c r="A1479" t="str">
        <f t="shared" si="118"/>
        <v>近畿大学中国四国3152女</v>
      </c>
      <c r="B1479" s="150" t="s">
        <v>1932</v>
      </c>
      <c r="C1479" s="150">
        <v>3152</v>
      </c>
      <c r="D1479" s="150" t="s">
        <v>4158</v>
      </c>
      <c r="E1479" s="150" t="s">
        <v>4552</v>
      </c>
      <c r="F1479" s="150" t="s">
        <v>267</v>
      </c>
      <c r="G1479" s="149" t="s">
        <v>840</v>
      </c>
      <c r="H1479" s="151" t="str">
        <f t="shared" si="119"/>
        <v>1996/03/26</v>
      </c>
      <c r="I1479" s="150" t="s">
        <v>295</v>
      </c>
      <c r="J1479" s="150" t="s">
        <v>780</v>
      </c>
      <c r="K1479" s="101" t="str">
        <f t="shared" si="115"/>
        <v>96</v>
      </c>
      <c r="L1479" s="101" t="str">
        <f t="shared" si="116"/>
        <v>03</v>
      </c>
      <c r="M1479" s="101" t="str">
        <f t="shared" si="117"/>
        <v>26</v>
      </c>
    </row>
    <row r="1480" spans="1:13">
      <c r="A1480" t="str">
        <f t="shared" si="118"/>
        <v>岡山大学3153女</v>
      </c>
      <c r="B1480" s="150" t="s">
        <v>1963</v>
      </c>
      <c r="C1480" s="150">
        <v>3153</v>
      </c>
      <c r="D1480" s="150" t="s">
        <v>4159</v>
      </c>
      <c r="E1480" s="150" t="s">
        <v>4553</v>
      </c>
      <c r="F1480" s="150" t="s">
        <v>260</v>
      </c>
      <c r="G1480" s="149" t="s">
        <v>840</v>
      </c>
      <c r="H1480" s="151" t="str">
        <f t="shared" si="119"/>
        <v>1992/01/17</v>
      </c>
      <c r="I1480" s="150" t="s">
        <v>263</v>
      </c>
      <c r="J1480" s="150" t="s">
        <v>4819</v>
      </c>
      <c r="K1480" s="101" t="str">
        <f t="shared" si="115"/>
        <v>92</v>
      </c>
      <c r="L1480" s="101" t="str">
        <f t="shared" si="116"/>
        <v>01</v>
      </c>
      <c r="M1480" s="101" t="str">
        <f t="shared" si="117"/>
        <v>17</v>
      </c>
    </row>
    <row r="1481" spans="1:13">
      <c r="A1481" t="str">
        <f t="shared" si="118"/>
        <v>岡山大学3154女</v>
      </c>
      <c r="B1481" s="150" t="s">
        <v>1963</v>
      </c>
      <c r="C1481" s="150">
        <v>3154</v>
      </c>
      <c r="D1481" s="150" t="s">
        <v>4160</v>
      </c>
      <c r="E1481" s="150" t="s">
        <v>4554</v>
      </c>
      <c r="F1481" s="150" t="s">
        <v>260</v>
      </c>
      <c r="G1481" s="149" t="s">
        <v>840</v>
      </c>
      <c r="H1481" s="151" t="str">
        <f t="shared" si="119"/>
        <v>1994/01/30</v>
      </c>
      <c r="I1481" s="150" t="s">
        <v>299</v>
      </c>
      <c r="J1481" s="150" t="s">
        <v>4820</v>
      </c>
      <c r="K1481" s="101" t="str">
        <f t="shared" si="115"/>
        <v>94</v>
      </c>
      <c r="L1481" s="101" t="str">
        <f t="shared" si="116"/>
        <v>01</v>
      </c>
      <c r="M1481" s="101" t="str">
        <f t="shared" si="117"/>
        <v>30</v>
      </c>
    </row>
    <row r="1482" spans="1:13">
      <c r="A1482" t="str">
        <f t="shared" si="118"/>
        <v>岡山大学3155女</v>
      </c>
      <c r="B1482" s="150" t="s">
        <v>1963</v>
      </c>
      <c r="C1482" s="150">
        <v>3155</v>
      </c>
      <c r="D1482" s="150" t="s">
        <v>4161</v>
      </c>
      <c r="E1482" s="150" t="s">
        <v>4555</v>
      </c>
      <c r="F1482" s="150" t="s">
        <v>265</v>
      </c>
      <c r="G1482" s="149" t="s">
        <v>840</v>
      </c>
      <c r="H1482" s="151" t="str">
        <f t="shared" si="119"/>
        <v>1993/06/10</v>
      </c>
      <c r="I1482" s="150" t="s">
        <v>299</v>
      </c>
      <c r="J1482" s="150" t="s">
        <v>848</v>
      </c>
      <c r="K1482" s="101" t="str">
        <f t="shared" si="115"/>
        <v>93</v>
      </c>
      <c r="L1482" s="101" t="str">
        <f t="shared" si="116"/>
        <v>06</v>
      </c>
      <c r="M1482" s="101" t="str">
        <f t="shared" si="117"/>
        <v>10</v>
      </c>
    </row>
    <row r="1483" spans="1:13">
      <c r="A1483" t="str">
        <f t="shared" si="118"/>
        <v>岡山大学3156女</v>
      </c>
      <c r="B1483" s="150" t="s">
        <v>1963</v>
      </c>
      <c r="C1483" s="150">
        <v>3156</v>
      </c>
      <c r="D1483" s="150" t="s">
        <v>4162</v>
      </c>
      <c r="E1483" s="150" t="s">
        <v>4556</v>
      </c>
      <c r="F1483" s="150" t="s">
        <v>265</v>
      </c>
      <c r="G1483" s="149" t="s">
        <v>840</v>
      </c>
      <c r="H1483" s="151" t="str">
        <f t="shared" si="119"/>
        <v>1994/11/01</v>
      </c>
      <c r="I1483" s="150" t="s">
        <v>299</v>
      </c>
      <c r="J1483" s="150" t="s">
        <v>4821</v>
      </c>
      <c r="K1483" s="101" t="str">
        <f t="shared" si="115"/>
        <v>94</v>
      </c>
      <c r="L1483" s="101" t="str">
        <f t="shared" si="116"/>
        <v>11</v>
      </c>
      <c r="M1483" s="101" t="str">
        <f t="shared" si="117"/>
        <v>01</v>
      </c>
    </row>
    <row r="1484" spans="1:13">
      <c r="A1484" t="str">
        <f t="shared" si="118"/>
        <v>岡山大学3157女</v>
      </c>
      <c r="B1484" s="150" t="s">
        <v>1963</v>
      </c>
      <c r="C1484" s="150">
        <v>3157</v>
      </c>
      <c r="D1484" s="150" t="s">
        <v>4163</v>
      </c>
      <c r="E1484" s="150" t="s">
        <v>4557</v>
      </c>
      <c r="F1484" s="150" t="s">
        <v>267</v>
      </c>
      <c r="G1484" s="149" t="s">
        <v>840</v>
      </c>
      <c r="H1484" s="151" t="str">
        <f t="shared" si="119"/>
        <v>1995/06/20</v>
      </c>
      <c r="I1484" s="150" t="s">
        <v>299</v>
      </c>
      <c r="J1484" s="150" t="s">
        <v>3837</v>
      </c>
      <c r="K1484" s="101" t="str">
        <f t="shared" si="115"/>
        <v>95</v>
      </c>
      <c r="L1484" s="101" t="str">
        <f t="shared" si="116"/>
        <v>06</v>
      </c>
      <c r="M1484" s="101" t="str">
        <f t="shared" si="117"/>
        <v>20</v>
      </c>
    </row>
    <row r="1485" spans="1:13">
      <c r="A1485" t="str">
        <f t="shared" si="118"/>
        <v>岡山大学3158女</v>
      </c>
      <c r="B1485" s="150" t="s">
        <v>1963</v>
      </c>
      <c r="C1485" s="150">
        <v>3158</v>
      </c>
      <c r="D1485" s="150" t="s">
        <v>4164</v>
      </c>
      <c r="E1485" s="150" t="s">
        <v>4558</v>
      </c>
      <c r="F1485" s="150" t="s">
        <v>267</v>
      </c>
      <c r="G1485" s="149" t="s">
        <v>840</v>
      </c>
      <c r="H1485" s="151" t="str">
        <f t="shared" si="119"/>
        <v>1990/12/26</v>
      </c>
      <c r="I1485" s="150" t="s">
        <v>299</v>
      </c>
      <c r="J1485" s="150" t="s">
        <v>4822</v>
      </c>
      <c r="K1485" s="101" t="str">
        <f t="shared" si="115"/>
        <v>90</v>
      </c>
      <c r="L1485" s="101" t="str">
        <f t="shared" si="116"/>
        <v>12</v>
      </c>
      <c r="M1485" s="101" t="str">
        <f t="shared" si="117"/>
        <v>26</v>
      </c>
    </row>
    <row r="1486" spans="1:13">
      <c r="A1486" t="str">
        <f t="shared" si="118"/>
        <v>岡山大学3159女</v>
      </c>
      <c r="B1486" s="150" t="s">
        <v>1963</v>
      </c>
      <c r="C1486" s="150">
        <v>3159</v>
      </c>
      <c r="D1486" s="150" t="s">
        <v>4165</v>
      </c>
      <c r="E1486" s="150" t="s">
        <v>4559</v>
      </c>
      <c r="F1486" s="150" t="s">
        <v>267</v>
      </c>
      <c r="G1486" s="149" t="s">
        <v>840</v>
      </c>
      <c r="H1486" s="151" t="str">
        <f t="shared" si="119"/>
        <v>1994/11/30</v>
      </c>
      <c r="I1486" s="150" t="s">
        <v>299</v>
      </c>
      <c r="J1486" s="150" t="s">
        <v>342</v>
      </c>
      <c r="K1486" s="101" t="str">
        <f t="shared" si="115"/>
        <v>94</v>
      </c>
      <c r="L1486" s="101" t="str">
        <f t="shared" si="116"/>
        <v>11</v>
      </c>
      <c r="M1486" s="101" t="str">
        <f t="shared" si="117"/>
        <v>30</v>
      </c>
    </row>
    <row r="1487" spans="1:13">
      <c r="A1487" t="str">
        <f t="shared" si="118"/>
        <v>四国大学3160女</v>
      </c>
      <c r="B1487" s="150" t="s">
        <v>1995</v>
      </c>
      <c r="C1487" s="150">
        <v>3160</v>
      </c>
      <c r="D1487" s="150" t="s">
        <v>4166</v>
      </c>
      <c r="E1487" s="150" t="s">
        <v>4560</v>
      </c>
      <c r="F1487" s="150" t="s">
        <v>260</v>
      </c>
      <c r="G1487" s="149" t="s">
        <v>840</v>
      </c>
      <c r="H1487" s="151" t="str">
        <f t="shared" si="119"/>
        <v>1993/10/26</v>
      </c>
      <c r="I1487" s="150" t="s">
        <v>276</v>
      </c>
      <c r="J1487" s="150" t="s">
        <v>886</v>
      </c>
      <c r="K1487" s="101" t="str">
        <f t="shared" si="115"/>
        <v>93</v>
      </c>
      <c r="L1487" s="101" t="str">
        <f t="shared" si="116"/>
        <v>10</v>
      </c>
      <c r="M1487" s="101" t="str">
        <f t="shared" si="117"/>
        <v>26</v>
      </c>
    </row>
    <row r="1488" spans="1:13">
      <c r="A1488" t="str">
        <f t="shared" si="118"/>
        <v>四国大学3161女</v>
      </c>
      <c r="B1488" s="150" t="s">
        <v>1995</v>
      </c>
      <c r="C1488" s="150">
        <v>3161</v>
      </c>
      <c r="D1488" s="150" t="s">
        <v>4167</v>
      </c>
      <c r="E1488" s="150" t="s">
        <v>4561</v>
      </c>
      <c r="F1488" s="150" t="s">
        <v>267</v>
      </c>
      <c r="G1488" s="149" t="s">
        <v>840</v>
      </c>
      <c r="H1488" s="151" t="str">
        <f t="shared" si="119"/>
        <v>1995/09/24</v>
      </c>
      <c r="I1488" s="150" t="s">
        <v>276</v>
      </c>
      <c r="J1488" s="150" t="s">
        <v>386</v>
      </c>
      <c r="K1488" s="101" t="str">
        <f t="shared" si="115"/>
        <v>95</v>
      </c>
      <c r="L1488" s="101" t="str">
        <f t="shared" si="116"/>
        <v>09</v>
      </c>
      <c r="M1488" s="101" t="str">
        <f t="shared" si="117"/>
        <v>24</v>
      </c>
    </row>
    <row r="1489" spans="1:13">
      <c r="A1489" t="str">
        <f t="shared" si="118"/>
        <v>四国大学3162女</v>
      </c>
      <c r="B1489" s="150" t="s">
        <v>1995</v>
      </c>
      <c r="C1489" s="150">
        <v>3162</v>
      </c>
      <c r="D1489" s="150" t="s">
        <v>4168</v>
      </c>
      <c r="E1489" s="150" t="s">
        <v>4562</v>
      </c>
      <c r="F1489" s="150" t="s">
        <v>265</v>
      </c>
      <c r="G1489" s="149" t="s">
        <v>840</v>
      </c>
      <c r="H1489" s="151" t="str">
        <f t="shared" si="119"/>
        <v>1994/12/31</v>
      </c>
      <c r="I1489" s="150" t="s">
        <v>276</v>
      </c>
      <c r="J1489" s="150" t="s">
        <v>463</v>
      </c>
      <c r="K1489" s="101" t="str">
        <f t="shared" si="115"/>
        <v>94</v>
      </c>
      <c r="L1489" s="101" t="str">
        <f t="shared" si="116"/>
        <v>12</v>
      </c>
      <c r="M1489" s="101" t="str">
        <f t="shared" si="117"/>
        <v>31</v>
      </c>
    </row>
    <row r="1490" spans="1:13">
      <c r="A1490" t="str">
        <f t="shared" si="118"/>
        <v>呉工業高等専門学校3163女</v>
      </c>
      <c r="B1490" s="150" t="s">
        <v>1998</v>
      </c>
      <c r="C1490" s="150">
        <v>3163</v>
      </c>
      <c r="D1490" s="150" t="s">
        <v>4169</v>
      </c>
      <c r="E1490" s="150" t="s">
        <v>4563</v>
      </c>
      <c r="F1490" s="150" t="s">
        <v>260</v>
      </c>
      <c r="G1490" s="149" t="s">
        <v>840</v>
      </c>
      <c r="H1490" s="151" t="str">
        <f t="shared" si="119"/>
        <v>1997/03/29</v>
      </c>
      <c r="I1490" s="150" t="s">
        <v>295</v>
      </c>
      <c r="J1490" s="150" t="s">
        <v>3939</v>
      </c>
      <c r="K1490" s="101" t="str">
        <f t="shared" si="115"/>
        <v>97</v>
      </c>
      <c r="L1490" s="101" t="str">
        <f t="shared" si="116"/>
        <v>03</v>
      </c>
      <c r="M1490" s="101" t="str">
        <f t="shared" si="117"/>
        <v>29</v>
      </c>
    </row>
    <row r="1491" spans="1:13">
      <c r="A1491" t="str">
        <f t="shared" si="118"/>
        <v>吉備国際大学3164女</v>
      </c>
      <c r="B1491" s="150" t="s">
        <v>2017</v>
      </c>
      <c r="C1491" s="150">
        <v>3164</v>
      </c>
      <c r="D1491" s="150" t="s">
        <v>4170</v>
      </c>
      <c r="E1491" s="150" t="s">
        <v>4564</v>
      </c>
      <c r="F1491" s="150" t="s">
        <v>260</v>
      </c>
      <c r="G1491" s="149" t="s">
        <v>840</v>
      </c>
      <c r="H1491" s="151" t="str">
        <f t="shared" si="119"/>
        <v>1993/10/07</v>
      </c>
      <c r="I1491" s="150" t="s">
        <v>299</v>
      </c>
      <c r="J1491" s="150" t="s">
        <v>4823</v>
      </c>
      <c r="K1491" s="101" t="str">
        <f t="shared" si="115"/>
        <v>93</v>
      </c>
      <c r="L1491" s="101" t="str">
        <f t="shared" si="116"/>
        <v>10</v>
      </c>
      <c r="M1491" s="101" t="str">
        <f t="shared" si="117"/>
        <v>07</v>
      </c>
    </row>
    <row r="1492" spans="1:13">
      <c r="A1492" t="str">
        <f t="shared" si="118"/>
        <v>広島修道大学3165女</v>
      </c>
      <c r="B1492" s="150" t="s">
        <v>2033</v>
      </c>
      <c r="C1492" s="150">
        <v>3165</v>
      </c>
      <c r="D1492" s="150" t="s">
        <v>4171</v>
      </c>
      <c r="E1492" s="150" t="s">
        <v>4565</v>
      </c>
      <c r="F1492" s="150" t="s">
        <v>260</v>
      </c>
      <c r="G1492" s="149" t="s">
        <v>840</v>
      </c>
      <c r="H1492" s="151" t="str">
        <f t="shared" si="119"/>
        <v>1993/12/13</v>
      </c>
      <c r="I1492" s="150" t="s">
        <v>295</v>
      </c>
      <c r="J1492" s="150" t="s">
        <v>642</v>
      </c>
      <c r="K1492" s="101" t="str">
        <f t="shared" si="115"/>
        <v>93</v>
      </c>
      <c r="L1492" s="101" t="str">
        <f t="shared" si="116"/>
        <v>12</v>
      </c>
      <c r="M1492" s="101" t="str">
        <f t="shared" si="117"/>
        <v>13</v>
      </c>
    </row>
    <row r="1493" spans="1:13">
      <c r="A1493" t="str">
        <f t="shared" si="118"/>
        <v>広島修道大学3166女</v>
      </c>
      <c r="B1493" s="150" t="s">
        <v>2033</v>
      </c>
      <c r="C1493" s="150">
        <v>3166</v>
      </c>
      <c r="D1493" s="150" t="s">
        <v>4172</v>
      </c>
      <c r="E1493" s="150" t="s">
        <v>4566</v>
      </c>
      <c r="F1493" s="150" t="s">
        <v>260</v>
      </c>
      <c r="G1493" s="149" t="s">
        <v>840</v>
      </c>
      <c r="H1493" s="151" t="str">
        <f t="shared" si="119"/>
        <v>1993/12/08</v>
      </c>
      <c r="I1493" s="150" t="s">
        <v>295</v>
      </c>
      <c r="J1493" s="150" t="s">
        <v>4824</v>
      </c>
      <c r="K1493" s="101" t="str">
        <f t="shared" si="115"/>
        <v>93</v>
      </c>
      <c r="L1493" s="101" t="str">
        <f t="shared" si="116"/>
        <v>12</v>
      </c>
      <c r="M1493" s="101" t="str">
        <f t="shared" si="117"/>
        <v>08</v>
      </c>
    </row>
    <row r="1494" spans="1:13">
      <c r="A1494" t="str">
        <f t="shared" si="118"/>
        <v>広島修道大学3167女</v>
      </c>
      <c r="B1494" s="150" t="s">
        <v>2033</v>
      </c>
      <c r="C1494" s="150">
        <v>3167</v>
      </c>
      <c r="D1494" s="150" t="s">
        <v>4173</v>
      </c>
      <c r="E1494" s="150" t="s">
        <v>4567</v>
      </c>
      <c r="F1494" s="150" t="s">
        <v>265</v>
      </c>
      <c r="G1494" s="149" t="s">
        <v>840</v>
      </c>
      <c r="H1494" s="151" t="str">
        <f t="shared" si="119"/>
        <v>1994/09/02</v>
      </c>
      <c r="I1494" s="150" t="s">
        <v>295</v>
      </c>
      <c r="J1494" s="150" t="s">
        <v>794</v>
      </c>
      <c r="K1494" s="101" t="str">
        <f t="shared" si="115"/>
        <v>94</v>
      </c>
      <c r="L1494" s="101" t="str">
        <f t="shared" si="116"/>
        <v>09</v>
      </c>
      <c r="M1494" s="101" t="str">
        <f t="shared" si="117"/>
        <v>02</v>
      </c>
    </row>
    <row r="1495" spans="1:13">
      <c r="A1495" t="str">
        <f t="shared" si="118"/>
        <v>広島修道大学3168女</v>
      </c>
      <c r="B1495" s="150" t="s">
        <v>2033</v>
      </c>
      <c r="C1495" s="150">
        <v>3168</v>
      </c>
      <c r="D1495" s="150" t="s">
        <v>4174</v>
      </c>
      <c r="E1495" s="150" t="s">
        <v>4568</v>
      </c>
      <c r="F1495" s="150" t="s">
        <v>265</v>
      </c>
      <c r="G1495" s="149" t="s">
        <v>840</v>
      </c>
      <c r="H1495" s="151" t="str">
        <f t="shared" si="119"/>
        <v>1994/12/06</v>
      </c>
      <c r="I1495" s="150" t="s">
        <v>269</v>
      </c>
      <c r="J1495" s="150" t="s">
        <v>856</v>
      </c>
      <c r="K1495" s="101" t="str">
        <f t="shared" si="115"/>
        <v>94</v>
      </c>
      <c r="L1495" s="101" t="str">
        <f t="shared" si="116"/>
        <v>12</v>
      </c>
      <c r="M1495" s="101" t="str">
        <f t="shared" si="117"/>
        <v>06</v>
      </c>
    </row>
    <row r="1496" spans="1:13">
      <c r="A1496" t="str">
        <f t="shared" si="118"/>
        <v>広島修道大学3169女</v>
      </c>
      <c r="B1496" s="150" t="s">
        <v>2033</v>
      </c>
      <c r="C1496" s="150">
        <v>3169</v>
      </c>
      <c r="D1496" s="150" t="s">
        <v>4175</v>
      </c>
      <c r="E1496" s="150" t="s">
        <v>4569</v>
      </c>
      <c r="F1496" s="150" t="s">
        <v>267</v>
      </c>
      <c r="G1496" s="149" t="s">
        <v>840</v>
      </c>
      <c r="H1496" s="151" t="str">
        <f t="shared" si="119"/>
        <v>1995/11/12</v>
      </c>
      <c r="I1496" s="150" t="s">
        <v>295</v>
      </c>
      <c r="J1496" s="150" t="s">
        <v>3850</v>
      </c>
      <c r="K1496" s="101" t="str">
        <f t="shared" si="115"/>
        <v>95</v>
      </c>
      <c r="L1496" s="101" t="str">
        <f t="shared" si="116"/>
        <v>11</v>
      </c>
      <c r="M1496" s="101" t="str">
        <f t="shared" si="117"/>
        <v>12</v>
      </c>
    </row>
    <row r="1497" spans="1:13">
      <c r="A1497" t="str">
        <f t="shared" si="118"/>
        <v>広島修道大学3170女</v>
      </c>
      <c r="B1497" s="150" t="s">
        <v>2033</v>
      </c>
      <c r="C1497" s="150">
        <v>3170</v>
      </c>
      <c r="D1497" s="150" t="s">
        <v>4176</v>
      </c>
      <c r="E1497" s="150" t="s">
        <v>4570</v>
      </c>
      <c r="F1497" s="150" t="s">
        <v>267</v>
      </c>
      <c r="G1497" s="149" t="s">
        <v>840</v>
      </c>
      <c r="H1497" s="151" t="str">
        <f t="shared" si="119"/>
        <v>1995/11/01</v>
      </c>
      <c r="I1497" s="150" t="s">
        <v>295</v>
      </c>
      <c r="J1497" s="150" t="s">
        <v>616</v>
      </c>
      <c r="K1497" s="101" t="str">
        <f t="shared" si="115"/>
        <v>95</v>
      </c>
      <c r="L1497" s="101" t="str">
        <f t="shared" si="116"/>
        <v>11</v>
      </c>
      <c r="M1497" s="101" t="str">
        <f t="shared" si="117"/>
        <v>01</v>
      </c>
    </row>
    <row r="1498" spans="1:13">
      <c r="A1498" t="str">
        <f t="shared" si="118"/>
        <v>広島修道大学3171女</v>
      </c>
      <c r="B1498" s="150" t="s">
        <v>2033</v>
      </c>
      <c r="C1498" s="150">
        <v>3171</v>
      </c>
      <c r="D1498" s="150" t="s">
        <v>4177</v>
      </c>
      <c r="E1498" s="150" t="s">
        <v>4571</v>
      </c>
      <c r="F1498" s="150" t="s">
        <v>267</v>
      </c>
      <c r="G1498" s="149" t="s">
        <v>840</v>
      </c>
      <c r="H1498" s="151" t="str">
        <f t="shared" si="119"/>
        <v>1995/12/07</v>
      </c>
      <c r="I1498" s="150" t="s">
        <v>295</v>
      </c>
      <c r="J1498" s="150" t="s">
        <v>4825</v>
      </c>
      <c r="K1498" s="101" t="str">
        <f t="shared" si="115"/>
        <v>95</v>
      </c>
      <c r="L1498" s="101" t="str">
        <f t="shared" si="116"/>
        <v>12</v>
      </c>
      <c r="M1498" s="101" t="str">
        <f t="shared" si="117"/>
        <v>07</v>
      </c>
    </row>
    <row r="1499" spans="1:13">
      <c r="A1499" t="str">
        <f t="shared" si="118"/>
        <v>広島修道大学3172女</v>
      </c>
      <c r="B1499" s="150" t="s">
        <v>2033</v>
      </c>
      <c r="C1499" s="150">
        <v>3172</v>
      </c>
      <c r="D1499" s="150" t="s">
        <v>4178</v>
      </c>
      <c r="E1499" s="150" t="s">
        <v>4572</v>
      </c>
      <c r="F1499" s="150" t="s">
        <v>267</v>
      </c>
      <c r="G1499" s="149" t="s">
        <v>840</v>
      </c>
      <c r="H1499" s="151" t="str">
        <f t="shared" si="119"/>
        <v>1996/01/18</v>
      </c>
      <c r="I1499" s="150" t="s">
        <v>295</v>
      </c>
      <c r="J1499" s="150" t="s">
        <v>779</v>
      </c>
      <c r="K1499" s="101" t="str">
        <f t="shared" si="115"/>
        <v>96</v>
      </c>
      <c r="L1499" s="101" t="str">
        <f t="shared" si="116"/>
        <v>01</v>
      </c>
      <c r="M1499" s="101" t="str">
        <f t="shared" si="117"/>
        <v>18</v>
      </c>
    </row>
    <row r="1500" spans="1:13">
      <c r="A1500" t="str">
        <f t="shared" si="118"/>
        <v>鳴門教育大学3173女</v>
      </c>
      <c r="B1500" s="150" t="s">
        <v>2088</v>
      </c>
      <c r="C1500" s="150">
        <v>3173</v>
      </c>
      <c r="D1500" s="150" t="s">
        <v>4179</v>
      </c>
      <c r="E1500" s="150" t="s">
        <v>4573</v>
      </c>
      <c r="F1500" s="150" t="s">
        <v>4857</v>
      </c>
      <c r="G1500" s="149" t="s">
        <v>840</v>
      </c>
      <c r="H1500" s="151" t="str">
        <f t="shared" si="119"/>
        <v>1994/06/03</v>
      </c>
      <c r="I1500" s="150" t="s">
        <v>276</v>
      </c>
      <c r="J1500" s="150" t="s">
        <v>3733</v>
      </c>
      <c r="K1500" s="101" t="str">
        <f t="shared" si="115"/>
        <v>94</v>
      </c>
      <c r="L1500" s="101" t="str">
        <f t="shared" si="116"/>
        <v>06</v>
      </c>
      <c r="M1500" s="101" t="str">
        <f t="shared" si="117"/>
        <v>03</v>
      </c>
    </row>
    <row r="1501" spans="1:13">
      <c r="A1501" t="str">
        <f t="shared" si="118"/>
        <v>鳴門教育大学3174女</v>
      </c>
      <c r="B1501" s="150" t="s">
        <v>2088</v>
      </c>
      <c r="C1501" s="150">
        <v>3174</v>
      </c>
      <c r="D1501" s="150" t="s">
        <v>4180</v>
      </c>
      <c r="E1501" s="150" t="s">
        <v>4574</v>
      </c>
      <c r="F1501" s="150" t="s">
        <v>260</v>
      </c>
      <c r="G1501" s="149" t="s">
        <v>840</v>
      </c>
      <c r="H1501" s="151" t="str">
        <f t="shared" si="119"/>
        <v>1994/03/26</v>
      </c>
      <c r="I1501" s="150" t="s">
        <v>276</v>
      </c>
      <c r="J1501" s="150" t="s">
        <v>4826</v>
      </c>
      <c r="K1501" s="101" t="str">
        <f t="shared" si="115"/>
        <v>94</v>
      </c>
      <c r="L1501" s="101" t="str">
        <f t="shared" si="116"/>
        <v>03</v>
      </c>
      <c r="M1501" s="101" t="str">
        <f t="shared" si="117"/>
        <v>26</v>
      </c>
    </row>
    <row r="1502" spans="1:13">
      <c r="A1502" t="str">
        <f t="shared" si="118"/>
        <v>鳴門教育大学3175女</v>
      </c>
      <c r="B1502" s="150" t="s">
        <v>2088</v>
      </c>
      <c r="C1502" s="150">
        <v>3175</v>
      </c>
      <c r="D1502" s="150" t="s">
        <v>4181</v>
      </c>
      <c r="E1502" s="150" t="s">
        <v>4575</v>
      </c>
      <c r="F1502" s="150" t="s">
        <v>267</v>
      </c>
      <c r="G1502" s="149" t="s">
        <v>840</v>
      </c>
      <c r="H1502" s="151" t="str">
        <f t="shared" si="119"/>
        <v>1995/03/28</v>
      </c>
      <c r="I1502" s="150" t="s">
        <v>276</v>
      </c>
      <c r="J1502" s="150" t="s">
        <v>789</v>
      </c>
      <c r="K1502" s="101" t="str">
        <f t="shared" si="115"/>
        <v>95</v>
      </c>
      <c r="L1502" s="101" t="str">
        <f t="shared" si="116"/>
        <v>03</v>
      </c>
      <c r="M1502" s="101" t="str">
        <f t="shared" si="117"/>
        <v>28</v>
      </c>
    </row>
    <row r="1503" spans="1:13">
      <c r="A1503" t="str">
        <f t="shared" si="118"/>
        <v>鳴門教育大学3176女</v>
      </c>
      <c r="B1503" s="150" t="s">
        <v>2088</v>
      </c>
      <c r="C1503" s="150">
        <v>3176</v>
      </c>
      <c r="D1503" s="150" t="s">
        <v>4182</v>
      </c>
      <c r="E1503" s="150" t="s">
        <v>4576</v>
      </c>
      <c r="F1503" s="150" t="s">
        <v>267</v>
      </c>
      <c r="G1503" s="149" t="s">
        <v>840</v>
      </c>
      <c r="H1503" s="151" t="str">
        <f t="shared" si="119"/>
        <v>1996/03/02</v>
      </c>
      <c r="I1503" s="150" t="s">
        <v>276</v>
      </c>
      <c r="J1503" s="150" t="s">
        <v>3682</v>
      </c>
      <c r="K1503" s="101" t="str">
        <f t="shared" si="115"/>
        <v>96</v>
      </c>
      <c r="L1503" s="101" t="str">
        <f t="shared" si="116"/>
        <v>03</v>
      </c>
      <c r="M1503" s="101" t="str">
        <f t="shared" si="117"/>
        <v>02</v>
      </c>
    </row>
    <row r="1504" spans="1:13">
      <c r="A1504" t="str">
        <f t="shared" si="118"/>
        <v>鳴門教育大学3177女</v>
      </c>
      <c r="B1504" s="150" t="s">
        <v>2088</v>
      </c>
      <c r="C1504" s="150">
        <v>3177</v>
      </c>
      <c r="D1504" s="150" t="s">
        <v>4183</v>
      </c>
      <c r="E1504" s="150" t="s">
        <v>4577</v>
      </c>
      <c r="F1504" s="150" t="s">
        <v>265</v>
      </c>
      <c r="G1504" s="149" t="s">
        <v>840</v>
      </c>
      <c r="H1504" s="151" t="str">
        <f t="shared" si="119"/>
        <v>1994/09/04</v>
      </c>
      <c r="I1504" s="150" t="s">
        <v>276</v>
      </c>
      <c r="J1504" s="150" t="s">
        <v>866</v>
      </c>
      <c r="K1504" s="101" t="str">
        <f t="shared" si="115"/>
        <v>94</v>
      </c>
      <c r="L1504" s="101" t="str">
        <f t="shared" si="116"/>
        <v>09</v>
      </c>
      <c r="M1504" s="101" t="str">
        <f t="shared" si="117"/>
        <v>04</v>
      </c>
    </row>
    <row r="1505" spans="1:13">
      <c r="A1505" t="str">
        <f t="shared" si="118"/>
        <v>鳴門教育大学3178女</v>
      </c>
      <c r="B1505" s="150" t="s">
        <v>2088</v>
      </c>
      <c r="C1505" s="150">
        <v>3178</v>
      </c>
      <c r="D1505" s="150" t="s">
        <v>4184</v>
      </c>
      <c r="E1505" s="150" t="s">
        <v>4578</v>
      </c>
      <c r="F1505" s="150" t="s">
        <v>265</v>
      </c>
      <c r="G1505" s="149" t="s">
        <v>840</v>
      </c>
      <c r="H1505" s="151" t="str">
        <f t="shared" si="119"/>
        <v>1994/10/26</v>
      </c>
      <c r="I1505" s="150" t="s">
        <v>276</v>
      </c>
      <c r="J1505" s="150" t="s">
        <v>862</v>
      </c>
      <c r="K1505" s="101" t="str">
        <f t="shared" si="115"/>
        <v>94</v>
      </c>
      <c r="L1505" s="101" t="str">
        <f t="shared" si="116"/>
        <v>10</v>
      </c>
      <c r="M1505" s="101" t="str">
        <f t="shared" si="117"/>
        <v>26</v>
      </c>
    </row>
    <row r="1506" spans="1:13">
      <c r="A1506" t="str">
        <f t="shared" si="118"/>
        <v>鳴門教育大学3179女</v>
      </c>
      <c r="B1506" s="150" t="s">
        <v>2088</v>
      </c>
      <c r="C1506" s="150">
        <v>3179</v>
      </c>
      <c r="D1506" s="150" t="s">
        <v>4185</v>
      </c>
      <c r="E1506" s="150" t="s">
        <v>4579</v>
      </c>
      <c r="F1506" s="150" t="s">
        <v>267</v>
      </c>
      <c r="G1506" s="149" t="s">
        <v>840</v>
      </c>
      <c r="H1506" s="151" t="str">
        <f t="shared" si="119"/>
        <v>1996/02/28</v>
      </c>
      <c r="I1506" s="150" t="s">
        <v>276</v>
      </c>
      <c r="J1506" s="150" t="s">
        <v>601</v>
      </c>
      <c r="K1506" s="101" t="str">
        <f t="shared" ref="K1506:K1569" si="120">MID(J1506,1,2)</f>
        <v>96</v>
      </c>
      <c r="L1506" s="101" t="str">
        <f t="shared" ref="L1506:L1569" si="121">MID(J1506,3,2)</f>
        <v>02</v>
      </c>
      <c r="M1506" s="101" t="str">
        <f t="shared" ref="M1506:M1569" si="122">MID(J1506,5,2)</f>
        <v>28</v>
      </c>
    </row>
    <row r="1507" spans="1:13">
      <c r="A1507" t="str">
        <f t="shared" si="118"/>
        <v>鳴門教育大学3180女</v>
      </c>
      <c r="B1507" s="150" t="s">
        <v>2088</v>
      </c>
      <c r="C1507" s="150">
        <v>3180</v>
      </c>
      <c r="D1507" s="150" t="s">
        <v>4186</v>
      </c>
      <c r="E1507" s="150" t="s">
        <v>4580</v>
      </c>
      <c r="F1507" s="150" t="s">
        <v>267</v>
      </c>
      <c r="G1507" s="149" t="s">
        <v>840</v>
      </c>
      <c r="H1507" s="151" t="str">
        <f t="shared" si="119"/>
        <v>1995/10/22</v>
      </c>
      <c r="I1507" s="150" t="s">
        <v>276</v>
      </c>
      <c r="J1507" s="150" t="s">
        <v>3928</v>
      </c>
      <c r="K1507" s="101" t="str">
        <f t="shared" si="120"/>
        <v>95</v>
      </c>
      <c r="L1507" s="101" t="str">
        <f t="shared" si="121"/>
        <v>10</v>
      </c>
      <c r="M1507" s="101" t="str">
        <f t="shared" si="122"/>
        <v>22</v>
      </c>
    </row>
    <row r="1508" spans="1:13">
      <c r="A1508" t="str">
        <f t="shared" si="118"/>
        <v>愛媛大学3181女</v>
      </c>
      <c r="B1508" s="150" t="s">
        <v>2107</v>
      </c>
      <c r="C1508" s="150">
        <v>3181</v>
      </c>
      <c r="D1508" s="150" t="s">
        <v>4187</v>
      </c>
      <c r="E1508" s="150" t="s">
        <v>4581</v>
      </c>
      <c r="F1508" s="150" t="s">
        <v>293</v>
      </c>
      <c r="G1508" s="149" t="s">
        <v>840</v>
      </c>
      <c r="H1508" s="151" t="str">
        <f t="shared" si="119"/>
        <v>1991/08/19</v>
      </c>
      <c r="I1508" s="150" t="s">
        <v>281</v>
      </c>
      <c r="J1508" s="150" t="s">
        <v>4827</v>
      </c>
      <c r="K1508" s="101" t="str">
        <f t="shared" si="120"/>
        <v>91</v>
      </c>
      <c r="L1508" s="101" t="str">
        <f t="shared" si="121"/>
        <v>08</v>
      </c>
      <c r="M1508" s="101" t="str">
        <f t="shared" si="122"/>
        <v>19</v>
      </c>
    </row>
    <row r="1509" spans="1:13">
      <c r="A1509" t="str">
        <f t="shared" si="118"/>
        <v>愛媛大学3182女</v>
      </c>
      <c r="B1509" s="150" t="s">
        <v>2107</v>
      </c>
      <c r="C1509" s="150">
        <v>3182</v>
      </c>
      <c r="D1509" s="150" t="s">
        <v>4188</v>
      </c>
      <c r="E1509" s="150" t="s">
        <v>4582</v>
      </c>
      <c r="F1509" s="150" t="s">
        <v>293</v>
      </c>
      <c r="G1509" s="149" t="s">
        <v>840</v>
      </c>
      <c r="H1509" s="151" t="str">
        <f t="shared" si="119"/>
        <v>1993/01/24</v>
      </c>
      <c r="I1509" s="150" t="s">
        <v>281</v>
      </c>
      <c r="J1509" s="150" t="s">
        <v>4828</v>
      </c>
      <c r="K1509" s="101" t="str">
        <f t="shared" si="120"/>
        <v>93</v>
      </c>
      <c r="L1509" s="101" t="str">
        <f t="shared" si="121"/>
        <v>01</v>
      </c>
      <c r="M1509" s="101" t="str">
        <f t="shared" si="122"/>
        <v>24</v>
      </c>
    </row>
    <row r="1510" spans="1:13">
      <c r="A1510" t="str">
        <f t="shared" si="118"/>
        <v>愛媛大学3183女</v>
      </c>
      <c r="B1510" s="150" t="s">
        <v>2107</v>
      </c>
      <c r="C1510" s="150">
        <v>3183</v>
      </c>
      <c r="D1510" s="150" t="s">
        <v>4189</v>
      </c>
      <c r="E1510" s="150" t="s">
        <v>4583</v>
      </c>
      <c r="F1510" s="150" t="s">
        <v>260</v>
      </c>
      <c r="G1510" s="149" t="s">
        <v>840</v>
      </c>
      <c r="H1510" s="151" t="str">
        <f t="shared" si="119"/>
        <v>1994/03/09</v>
      </c>
      <c r="I1510" s="150" t="s">
        <v>281</v>
      </c>
      <c r="J1510" s="150" t="s">
        <v>3753</v>
      </c>
      <c r="K1510" s="101" t="str">
        <f t="shared" si="120"/>
        <v>94</v>
      </c>
      <c r="L1510" s="101" t="str">
        <f t="shared" si="121"/>
        <v>03</v>
      </c>
      <c r="M1510" s="101" t="str">
        <f t="shared" si="122"/>
        <v>09</v>
      </c>
    </row>
    <row r="1511" spans="1:13">
      <c r="A1511" t="str">
        <f t="shared" si="118"/>
        <v>愛媛大学3184女</v>
      </c>
      <c r="B1511" s="150" t="s">
        <v>2107</v>
      </c>
      <c r="C1511" s="150">
        <v>3184</v>
      </c>
      <c r="D1511" s="150" t="s">
        <v>4190</v>
      </c>
      <c r="E1511" s="150" t="s">
        <v>4584</v>
      </c>
      <c r="F1511" s="150" t="s">
        <v>265</v>
      </c>
      <c r="G1511" s="149" t="s">
        <v>840</v>
      </c>
      <c r="H1511" s="151" t="str">
        <f t="shared" si="119"/>
        <v>1994/05/12</v>
      </c>
      <c r="I1511" s="150" t="s">
        <v>281</v>
      </c>
      <c r="J1511" s="150" t="s">
        <v>3702</v>
      </c>
      <c r="K1511" s="101" t="str">
        <f t="shared" si="120"/>
        <v>94</v>
      </c>
      <c r="L1511" s="101" t="str">
        <f t="shared" si="121"/>
        <v>05</v>
      </c>
      <c r="M1511" s="101" t="str">
        <f t="shared" si="122"/>
        <v>12</v>
      </c>
    </row>
    <row r="1512" spans="1:13">
      <c r="A1512" t="str">
        <f t="shared" si="118"/>
        <v>愛媛大学3185女</v>
      </c>
      <c r="B1512" s="150" t="s">
        <v>2107</v>
      </c>
      <c r="C1512" s="150">
        <v>3185</v>
      </c>
      <c r="D1512" s="150" t="s">
        <v>4191</v>
      </c>
      <c r="E1512" s="150" t="s">
        <v>4585</v>
      </c>
      <c r="F1512" s="150" t="s">
        <v>265</v>
      </c>
      <c r="G1512" s="149" t="s">
        <v>840</v>
      </c>
      <c r="H1512" s="151" t="str">
        <f t="shared" si="119"/>
        <v>1994/10/03</v>
      </c>
      <c r="I1512" s="150" t="s">
        <v>281</v>
      </c>
      <c r="J1512" s="150" t="s">
        <v>482</v>
      </c>
      <c r="K1512" s="101" t="str">
        <f t="shared" si="120"/>
        <v>94</v>
      </c>
      <c r="L1512" s="101" t="str">
        <f t="shared" si="121"/>
        <v>10</v>
      </c>
      <c r="M1512" s="101" t="str">
        <f t="shared" si="122"/>
        <v>03</v>
      </c>
    </row>
    <row r="1513" spans="1:13">
      <c r="A1513" t="str">
        <f t="shared" si="118"/>
        <v>愛媛大学3186女</v>
      </c>
      <c r="B1513" s="150" t="s">
        <v>2107</v>
      </c>
      <c r="C1513" s="150">
        <v>3186</v>
      </c>
      <c r="D1513" s="150" t="s">
        <v>4192</v>
      </c>
      <c r="E1513" s="150" t="s">
        <v>4586</v>
      </c>
      <c r="F1513" s="150" t="s">
        <v>267</v>
      </c>
      <c r="G1513" s="149" t="s">
        <v>840</v>
      </c>
      <c r="H1513" s="151" t="str">
        <f t="shared" si="119"/>
        <v>1994/06/20</v>
      </c>
      <c r="I1513" s="150" t="s">
        <v>281</v>
      </c>
      <c r="J1513" s="150" t="s">
        <v>586</v>
      </c>
      <c r="K1513" s="101" t="str">
        <f t="shared" si="120"/>
        <v>94</v>
      </c>
      <c r="L1513" s="101" t="str">
        <f t="shared" si="121"/>
        <v>06</v>
      </c>
      <c r="M1513" s="101" t="str">
        <f t="shared" si="122"/>
        <v>20</v>
      </c>
    </row>
    <row r="1514" spans="1:13">
      <c r="A1514" t="str">
        <f t="shared" si="118"/>
        <v>愛媛大学3187女</v>
      </c>
      <c r="B1514" s="150" t="s">
        <v>2107</v>
      </c>
      <c r="C1514" s="150">
        <v>3187</v>
      </c>
      <c r="D1514" s="150" t="s">
        <v>4193</v>
      </c>
      <c r="E1514" s="150" t="s">
        <v>4587</v>
      </c>
      <c r="F1514" s="150" t="s">
        <v>267</v>
      </c>
      <c r="G1514" s="149" t="s">
        <v>840</v>
      </c>
      <c r="H1514" s="151" t="str">
        <f t="shared" si="119"/>
        <v>1995/09/08</v>
      </c>
      <c r="I1514" s="150" t="s">
        <v>281</v>
      </c>
      <c r="J1514" s="150" t="s">
        <v>424</v>
      </c>
      <c r="K1514" s="101" t="str">
        <f t="shared" si="120"/>
        <v>95</v>
      </c>
      <c r="L1514" s="101" t="str">
        <f t="shared" si="121"/>
        <v>09</v>
      </c>
      <c r="M1514" s="101" t="str">
        <f t="shared" si="122"/>
        <v>08</v>
      </c>
    </row>
    <row r="1515" spans="1:13">
      <c r="A1515" t="str">
        <f t="shared" si="118"/>
        <v>愛媛大学3188女</v>
      </c>
      <c r="B1515" s="150" t="s">
        <v>2107</v>
      </c>
      <c r="C1515" s="150">
        <v>3188</v>
      </c>
      <c r="D1515" s="150" t="s">
        <v>4194</v>
      </c>
      <c r="E1515" s="150" t="s">
        <v>4588</v>
      </c>
      <c r="F1515" s="150" t="s">
        <v>267</v>
      </c>
      <c r="G1515" s="149" t="s">
        <v>840</v>
      </c>
      <c r="H1515" s="151" t="str">
        <f t="shared" si="119"/>
        <v>1995/11/04</v>
      </c>
      <c r="I1515" s="150" t="s">
        <v>281</v>
      </c>
      <c r="J1515" s="150" t="s">
        <v>357</v>
      </c>
      <c r="K1515" s="101" t="str">
        <f t="shared" si="120"/>
        <v>95</v>
      </c>
      <c r="L1515" s="101" t="str">
        <f t="shared" si="121"/>
        <v>11</v>
      </c>
      <c r="M1515" s="101" t="str">
        <f t="shared" si="122"/>
        <v>04</v>
      </c>
    </row>
    <row r="1516" spans="1:13">
      <c r="A1516" t="str">
        <f t="shared" si="118"/>
        <v>愛媛大学3189女</v>
      </c>
      <c r="B1516" s="150" t="s">
        <v>2107</v>
      </c>
      <c r="C1516" s="150">
        <v>3189</v>
      </c>
      <c r="D1516" s="150" t="s">
        <v>4195</v>
      </c>
      <c r="E1516" s="150" t="s">
        <v>4589</v>
      </c>
      <c r="F1516" s="150" t="s">
        <v>264</v>
      </c>
      <c r="G1516" s="149" t="s">
        <v>840</v>
      </c>
      <c r="H1516" s="151" t="str">
        <f t="shared" si="119"/>
        <v>1992/12/11</v>
      </c>
      <c r="I1516" s="150" t="s">
        <v>281</v>
      </c>
      <c r="J1516" s="150" t="s">
        <v>4829</v>
      </c>
      <c r="K1516" s="101" t="str">
        <f t="shared" si="120"/>
        <v>92</v>
      </c>
      <c r="L1516" s="101" t="str">
        <f t="shared" si="121"/>
        <v>12</v>
      </c>
      <c r="M1516" s="101" t="str">
        <f t="shared" si="122"/>
        <v>11</v>
      </c>
    </row>
    <row r="1517" spans="1:13">
      <c r="A1517" t="str">
        <f t="shared" si="118"/>
        <v>愛媛大学3190女</v>
      </c>
      <c r="B1517" s="150" t="s">
        <v>2107</v>
      </c>
      <c r="C1517" s="150">
        <v>3190</v>
      </c>
      <c r="D1517" s="150" t="s">
        <v>4196</v>
      </c>
      <c r="E1517" s="150" t="s">
        <v>4590</v>
      </c>
      <c r="F1517" s="150" t="s">
        <v>265</v>
      </c>
      <c r="G1517" s="149" t="s">
        <v>840</v>
      </c>
      <c r="H1517" s="151" t="str">
        <f t="shared" si="119"/>
        <v>1994/04/07</v>
      </c>
      <c r="I1517" s="150" t="s">
        <v>281</v>
      </c>
      <c r="J1517" s="150" t="s">
        <v>3676</v>
      </c>
      <c r="K1517" s="101" t="str">
        <f t="shared" si="120"/>
        <v>94</v>
      </c>
      <c r="L1517" s="101" t="str">
        <f t="shared" si="121"/>
        <v>04</v>
      </c>
      <c r="M1517" s="101" t="str">
        <f t="shared" si="122"/>
        <v>07</v>
      </c>
    </row>
    <row r="1518" spans="1:13">
      <c r="A1518" t="str">
        <f t="shared" si="118"/>
        <v>愛媛大学3191女</v>
      </c>
      <c r="B1518" s="150" t="s">
        <v>2107</v>
      </c>
      <c r="C1518" s="150">
        <v>3191</v>
      </c>
      <c r="D1518" s="150" t="s">
        <v>4197</v>
      </c>
      <c r="E1518" s="150" t="s">
        <v>4591</v>
      </c>
      <c r="F1518" s="150" t="s">
        <v>265</v>
      </c>
      <c r="G1518" s="149" t="s">
        <v>840</v>
      </c>
      <c r="H1518" s="151" t="str">
        <f t="shared" si="119"/>
        <v>1994/08/09</v>
      </c>
      <c r="I1518" s="150" t="s">
        <v>281</v>
      </c>
      <c r="J1518" s="150" t="s">
        <v>339</v>
      </c>
      <c r="K1518" s="101" t="str">
        <f t="shared" si="120"/>
        <v>94</v>
      </c>
      <c r="L1518" s="101" t="str">
        <f t="shared" si="121"/>
        <v>08</v>
      </c>
      <c r="M1518" s="101" t="str">
        <f t="shared" si="122"/>
        <v>09</v>
      </c>
    </row>
    <row r="1519" spans="1:13">
      <c r="A1519" t="str">
        <f t="shared" si="118"/>
        <v>愛媛大学3192女</v>
      </c>
      <c r="B1519" s="150" t="s">
        <v>2107</v>
      </c>
      <c r="C1519" s="150">
        <v>3192</v>
      </c>
      <c r="D1519" s="150" t="s">
        <v>4198</v>
      </c>
      <c r="E1519" s="150" t="s">
        <v>4592</v>
      </c>
      <c r="F1519" s="150" t="s">
        <v>265</v>
      </c>
      <c r="G1519" s="149" t="s">
        <v>840</v>
      </c>
      <c r="H1519" s="151" t="str">
        <f t="shared" si="119"/>
        <v>1994/08/08</v>
      </c>
      <c r="I1519" s="150" t="s">
        <v>281</v>
      </c>
      <c r="J1519" s="150" t="s">
        <v>583</v>
      </c>
      <c r="K1519" s="101" t="str">
        <f t="shared" si="120"/>
        <v>94</v>
      </c>
      <c r="L1519" s="101" t="str">
        <f t="shared" si="121"/>
        <v>08</v>
      </c>
      <c r="M1519" s="101" t="str">
        <f t="shared" si="122"/>
        <v>08</v>
      </c>
    </row>
    <row r="1520" spans="1:13">
      <c r="A1520" t="str">
        <f t="shared" si="118"/>
        <v>愛媛大学3193女</v>
      </c>
      <c r="B1520" s="150" t="s">
        <v>2107</v>
      </c>
      <c r="C1520" s="150">
        <v>3193</v>
      </c>
      <c r="D1520" s="150" t="s">
        <v>4199</v>
      </c>
      <c r="E1520" s="150" t="s">
        <v>4593</v>
      </c>
      <c r="F1520" s="150" t="s">
        <v>265</v>
      </c>
      <c r="G1520" s="149" t="s">
        <v>840</v>
      </c>
      <c r="H1520" s="151" t="str">
        <f t="shared" si="119"/>
        <v>1994/07/25</v>
      </c>
      <c r="I1520" s="150" t="s">
        <v>281</v>
      </c>
      <c r="J1520" s="150" t="s">
        <v>3636</v>
      </c>
      <c r="K1520" s="101" t="str">
        <f t="shared" si="120"/>
        <v>94</v>
      </c>
      <c r="L1520" s="101" t="str">
        <f t="shared" si="121"/>
        <v>07</v>
      </c>
      <c r="M1520" s="101" t="str">
        <f t="shared" si="122"/>
        <v>25</v>
      </c>
    </row>
    <row r="1521" spans="1:13">
      <c r="A1521" t="str">
        <f t="shared" si="118"/>
        <v>愛媛大学3194女</v>
      </c>
      <c r="B1521" s="150" t="s">
        <v>2107</v>
      </c>
      <c r="C1521" s="150">
        <v>3194</v>
      </c>
      <c r="D1521" s="150" t="s">
        <v>4200</v>
      </c>
      <c r="E1521" s="150" t="s">
        <v>4594</v>
      </c>
      <c r="F1521" s="150" t="s">
        <v>267</v>
      </c>
      <c r="G1521" s="149" t="s">
        <v>840</v>
      </c>
      <c r="H1521" s="151" t="str">
        <f t="shared" si="119"/>
        <v>1995/05/19</v>
      </c>
      <c r="I1521" s="150" t="s">
        <v>281</v>
      </c>
      <c r="J1521" s="150" t="s">
        <v>4830</v>
      </c>
      <c r="K1521" s="101" t="str">
        <f t="shared" si="120"/>
        <v>95</v>
      </c>
      <c r="L1521" s="101" t="str">
        <f t="shared" si="121"/>
        <v>05</v>
      </c>
      <c r="M1521" s="101" t="str">
        <f t="shared" si="122"/>
        <v>19</v>
      </c>
    </row>
    <row r="1522" spans="1:13">
      <c r="A1522" t="str">
        <f t="shared" si="118"/>
        <v>愛媛大学3195女</v>
      </c>
      <c r="B1522" s="150" t="s">
        <v>2107</v>
      </c>
      <c r="C1522" s="150">
        <v>3195</v>
      </c>
      <c r="D1522" s="150" t="s">
        <v>4201</v>
      </c>
      <c r="E1522" s="150" t="s">
        <v>4595</v>
      </c>
      <c r="F1522" s="150" t="s">
        <v>267</v>
      </c>
      <c r="G1522" s="149" t="s">
        <v>840</v>
      </c>
      <c r="H1522" s="151" t="str">
        <f t="shared" si="119"/>
        <v>1995/12/25</v>
      </c>
      <c r="I1522" s="150" t="s">
        <v>276</v>
      </c>
      <c r="J1522" s="150" t="s">
        <v>4831</v>
      </c>
      <c r="K1522" s="101" t="str">
        <f t="shared" si="120"/>
        <v>95</v>
      </c>
      <c r="L1522" s="101" t="str">
        <f t="shared" si="121"/>
        <v>12</v>
      </c>
      <c r="M1522" s="101" t="str">
        <f t="shared" si="122"/>
        <v>25</v>
      </c>
    </row>
    <row r="1523" spans="1:13">
      <c r="A1523" t="str">
        <f t="shared" si="118"/>
        <v>川崎医療福祉大学3196女</v>
      </c>
      <c r="B1523" s="150" t="s">
        <v>2176</v>
      </c>
      <c r="C1523" s="150">
        <v>3196</v>
      </c>
      <c r="D1523" s="150" t="s">
        <v>4202</v>
      </c>
      <c r="E1523" s="150" t="s">
        <v>4596</v>
      </c>
      <c r="F1523" s="150" t="s">
        <v>267</v>
      </c>
      <c r="G1523" s="149" t="s">
        <v>840</v>
      </c>
      <c r="H1523" s="151" t="str">
        <f t="shared" si="119"/>
        <v>1995/10/05</v>
      </c>
      <c r="I1523" s="150" t="s">
        <v>299</v>
      </c>
      <c r="J1523" s="150" t="s">
        <v>4832</v>
      </c>
      <c r="K1523" s="101" t="str">
        <f t="shared" si="120"/>
        <v>95</v>
      </c>
      <c r="L1523" s="101" t="str">
        <f t="shared" si="121"/>
        <v>10</v>
      </c>
      <c r="M1523" s="101" t="str">
        <f t="shared" si="122"/>
        <v>05</v>
      </c>
    </row>
    <row r="1524" spans="1:13">
      <c r="A1524" t="str">
        <f t="shared" si="118"/>
        <v>川崎医療福祉大学3197女</v>
      </c>
      <c r="B1524" s="150" t="s">
        <v>2176</v>
      </c>
      <c r="C1524" s="150">
        <v>3197</v>
      </c>
      <c r="D1524" s="150" t="s">
        <v>4203</v>
      </c>
      <c r="E1524" s="150" t="s">
        <v>4597</v>
      </c>
      <c r="F1524" s="150" t="s">
        <v>267</v>
      </c>
      <c r="G1524" s="149" t="s">
        <v>840</v>
      </c>
      <c r="H1524" s="151" t="str">
        <f t="shared" si="119"/>
        <v>1995/08/26</v>
      </c>
      <c r="I1524" s="150" t="s">
        <v>299</v>
      </c>
      <c r="J1524" s="150" t="s">
        <v>366</v>
      </c>
      <c r="K1524" s="101" t="str">
        <f t="shared" si="120"/>
        <v>95</v>
      </c>
      <c r="L1524" s="101" t="str">
        <f t="shared" si="121"/>
        <v>08</v>
      </c>
      <c r="M1524" s="101" t="str">
        <f t="shared" si="122"/>
        <v>26</v>
      </c>
    </row>
    <row r="1525" spans="1:13">
      <c r="A1525" t="str">
        <f t="shared" si="118"/>
        <v>川崎医療福祉大学3198女</v>
      </c>
      <c r="B1525" s="150" t="s">
        <v>2176</v>
      </c>
      <c r="C1525" s="150">
        <v>3198</v>
      </c>
      <c r="D1525" s="150" t="s">
        <v>4204</v>
      </c>
      <c r="E1525" s="150" t="s">
        <v>4598</v>
      </c>
      <c r="F1525" s="150" t="s">
        <v>265</v>
      </c>
      <c r="G1525" s="149" t="s">
        <v>840</v>
      </c>
      <c r="H1525" s="151" t="str">
        <f t="shared" si="119"/>
        <v>1994/07/08</v>
      </c>
      <c r="I1525" s="150" t="s">
        <v>299</v>
      </c>
      <c r="J1525" s="150" t="s">
        <v>509</v>
      </c>
      <c r="K1525" s="101" t="str">
        <f t="shared" si="120"/>
        <v>94</v>
      </c>
      <c r="L1525" s="101" t="str">
        <f t="shared" si="121"/>
        <v>07</v>
      </c>
      <c r="M1525" s="101" t="str">
        <f t="shared" si="122"/>
        <v>08</v>
      </c>
    </row>
    <row r="1526" spans="1:13">
      <c r="A1526" t="str">
        <f t="shared" si="118"/>
        <v>川崎医療福祉大学3199女</v>
      </c>
      <c r="B1526" s="150" t="s">
        <v>2176</v>
      </c>
      <c r="C1526" s="150">
        <v>3199</v>
      </c>
      <c r="D1526" s="150" t="s">
        <v>4205</v>
      </c>
      <c r="E1526" s="150" t="s">
        <v>4599</v>
      </c>
      <c r="F1526" s="150" t="s">
        <v>265</v>
      </c>
      <c r="G1526" s="149" t="s">
        <v>840</v>
      </c>
      <c r="H1526" s="151" t="str">
        <f t="shared" si="119"/>
        <v>1994/09/12</v>
      </c>
      <c r="I1526" s="150" t="s">
        <v>299</v>
      </c>
      <c r="J1526" s="150" t="s">
        <v>638</v>
      </c>
      <c r="K1526" s="101" t="str">
        <f t="shared" si="120"/>
        <v>94</v>
      </c>
      <c r="L1526" s="101" t="str">
        <f t="shared" si="121"/>
        <v>09</v>
      </c>
      <c r="M1526" s="101" t="str">
        <f t="shared" si="122"/>
        <v>12</v>
      </c>
    </row>
    <row r="1527" spans="1:13">
      <c r="A1527" t="str">
        <f t="shared" si="118"/>
        <v>川崎医療福祉大学3200女</v>
      </c>
      <c r="B1527" s="150" t="s">
        <v>2176</v>
      </c>
      <c r="C1527" s="150">
        <v>3200</v>
      </c>
      <c r="D1527" s="150" t="s">
        <v>4206</v>
      </c>
      <c r="E1527" s="150" t="s">
        <v>4600</v>
      </c>
      <c r="F1527" s="150" t="s">
        <v>265</v>
      </c>
      <c r="G1527" s="149" t="s">
        <v>840</v>
      </c>
      <c r="H1527" s="151" t="str">
        <f t="shared" si="119"/>
        <v>1994/08/02</v>
      </c>
      <c r="I1527" s="150" t="s">
        <v>295</v>
      </c>
      <c r="J1527" s="150" t="s">
        <v>703</v>
      </c>
      <c r="K1527" s="101" t="str">
        <f t="shared" si="120"/>
        <v>94</v>
      </c>
      <c r="L1527" s="101" t="str">
        <f t="shared" si="121"/>
        <v>08</v>
      </c>
      <c r="M1527" s="101" t="str">
        <f t="shared" si="122"/>
        <v>02</v>
      </c>
    </row>
    <row r="1528" spans="1:13">
      <c r="A1528" t="str">
        <f t="shared" si="118"/>
        <v>川崎医療福祉大学3201女</v>
      </c>
      <c r="B1528" s="150" t="s">
        <v>2176</v>
      </c>
      <c r="C1528" s="150">
        <v>3201</v>
      </c>
      <c r="D1528" s="150" t="s">
        <v>4207</v>
      </c>
      <c r="E1528" s="150" t="s">
        <v>4601</v>
      </c>
      <c r="F1528" s="150" t="s">
        <v>265</v>
      </c>
      <c r="G1528" s="149" t="s">
        <v>840</v>
      </c>
      <c r="H1528" s="151" t="str">
        <f t="shared" si="119"/>
        <v>1993/12/25</v>
      </c>
      <c r="I1528" s="150" t="s">
        <v>299</v>
      </c>
      <c r="J1528" s="150" t="s">
        <v>864</v>
      </c>
      <c r="K1528" s="101" t="str">
        <f t="shared" si="120"/>
        <v>93</v>
      </c>
      <c r="L1528" s="101" t="str">
        <f t="shared" si="121"/>
        <v>12</v>
      </c>
      <c r="M1528" s="101" t="str">
        <f t="shared" si="122"/>
        <v>25</v>
      </c>
    </row>
    <row r="1529" spans="1:13">
      <c r="A1529" t="str">
        <f t="shared" si="118"/>
        <v>川崎医療福祉大学3202女</v>
      </c>
      <c r="B1529" s="150" t="s">
        <v>2176</v>
      </c>
      <c r="C1529" s="150">
        <v>3202</v>
      </c>
      <c r="D1529" s="150" t="s">
        <v>4208</v>
      </c>
      <c r="E1529" s="150" t="s">
        <v>4602</v>
      </c>
      <c r="F1529" s="150" t="s">
        <v>260</v>
      </c>
      <c r="G1529" s="149" t="s">
        <v>840</v>
      </c>
      <c r="H1529" s="151" t="str">
        <f t="shared" si="119"/>
        <v>1992/06/15</v>
      </c>
      <c r="I1529" s="150" t="s">
        <v>289</v>
      </c>
      <c r="J1529" s="150" t="s">
        <v>4833</v>
      </c>
      <c r="K1529" s="101" t="str">
        <f t="shared" si="120"/>
        <v>92</v>
      </c>
      <c r="L1529" s="101" t="str">
        <f t="shared" si="121"/>
        <v>06</v>
      </c>
      <c r="M1529" s="101" t="str">
        <f t="shared" si="122"/>
        <v>15</v>
      </c>
    </row>
    <row r="1530" spans="1:13">
      <c r="A1530" t="str">
        <f t="shared" si="118"/>
        <v>川崎医療福祉大学3203女</v>
      </c>
      <c r="B1530" s="150" t="s">
        <v>2176</v>
      </c>
      <c r="C1530" s="150">
        <v>3203</v>
      </c>
      <c r="D1530" s="150" t="s">
        <v>4209</v>
      </c>
      <c r="E1530" s="150" t="s">
        <v>4603</v>
      </c>
      <c r="F1530" s="150" t="s">
        <v>260</v>
      </c>
      <c r="G1530" s="149" t="s">
        <v>840</v>
      </c>
      <c r="H1530" s="151" t="str">
        <f t="shared" si="119"/>
        <v>1994/01/03</v>
      </c>
      <c r="I1530" s="150" t="s">
        <v>299</v>
      </c>
      <c r="J1530" s="150" t="s">
        <v>4834</v>
      </c>
      <c r="K1530" s="101" t="str">
        <f t="shared" si="120"/>
        <v>94</v>
      </c>
      <c r="L1530" s="101" t="str">
        <f t="shared" si="121"/>
        <v>01</v>
      </c>
      <c r="M1530" s="101" t="str">
        <f t="shared" si="122"/>
        <v>03</v>
      </c>
    </row>
    <row r="1531" spans="1:13">
      <c r="A1531" t="str">
        <f t="shared" si="118"/>
        <v>島根県立大学3204女</v>
      </c>
      <c r="B1531" s="150" t="s">
        <v>2203</v>
      </c>
      <c r="C1531" s="150">
        <v>3204</v>
      </c>
      <c r="D1531" s="150" t="s">
        <v>4210</v>
      </c>
      <c r="E1531" s="150" t="s">
        <v>4604</v>
      </c>
      <c r="F1531" s="150" t="s">
        <v>267</v>
      </c>
      <c r="G1531" s="149" t="s">
        <v>840</v>
      </c>
      <c r="H1531" s="151" t="str">
        <f t="shared" si="119"/>
        <v>1995/12/16</v>
      </c>
      <c r="I1531" s="150" t="s">
        <v>301</v>
      </c>
      <c r="J1531" s="150" t="s">
        <v>526</v>
      </c>
      <c r="K1531" s="101" t="str">
        <f t="shared" si="120"/>
        <v>95</v>
      </c>
      <c r="L1531" s="101" t="str">
        <f t="shared" si="121"/>
        <v>12</v>
      </c>
      <c r="M1531" s="101" t="str">
        <f t="shared" si="122"/>
        <v>16</v>
      </c>
    </row>
    <row r="1532" spans="1:13">
      <c r="A1532" t="str">
        <f t="shared" si="118"/>
        <v>山口大学3205女</v>
      </c>
      <c r="B1532" s="150" t="s">
        <v>1311</v>
      </c>
      <c r="C1532" s="150">
        <v>3205</v>
      </c>
      <c r="D1532" s="150" t="s">
        <v>4211</v>
      </c>
      <c r="E1532" s="150" t="s">
        <v>4605</v>
      </c>
      <c r="F1532" s="150" t="s">
        <v>267</v>
      </c>
      <c r="G1532" s="149" t="s">
        <v>840</v>
      </c>
      <c r="H1532" s="151" t="str">
        <f t="shared" si="119"/>
        <v>1995/08/11</v>
      </c>
      <c r="I1532" s="150" t="s">
        <v>269</v>
      </c>
      <c r="J1532" s="150" t="s">
        <v>737</v>
      </c>
      <c r="K1532" s="101" t="str">
        <f t="shared" si="120"/>
        <v>95</v>
      </c>
      <c r="L1532" s="101" t="str">
        <f t="shared" si="121"/>
        <v>08</v>
      </c>
      <c r="M1532" s="101" t="str">
        <f t="shared" si="122"/>
        <v>11</v>
      </c>
    </row>
    <row r="1533" spans="1:13">
      <c r="A1533" t="str">
        <f t="shared" si="118"/>
        <v>山口大学3206女</v>
      </c>
      <c r="B1533" s="150" t="s">
        <v>1311</v>
      </c>
      <c r="C1533" s="150">
        <v>3206</v>
      </c>
      <c r="D1533" s="150" t="s">
        <v>4212</v>
      </c>
      <c r="E1533" s="150" t="s">
        <v>4606</v>
      </c>
      <c r="F1533" s="150" t="s">
        <v>265</v>
      </c>
      <c r="G1533" s="149" t="s">
        <v>840</v>
      </c>
      <c r="H1533" s="151" t="str">
        <f t="shared" si="119"/>
        <v>1994/06/24</v>
      </c>
      <c r="I1533" s="150" t="s">
        <v>269</v>
      </c>
      <c r="J1533" s="150" t="s">
        <v>684</v>
      </c>
      <c r="K1533" s="101" t="str">
        <f t="shared" si="120"/>
        <v>94</v>
      </c>
      <c r="L1533" s="101" t="str">
        <f t="shared" si="121"/>
        <v>06</v>
      </c>
      <c r="M1533" s="101" t="str">
        <f t="shared" si="122"/>
        <v>24</v>
      </c>
    </row>
    <row r="1534" spans="1:13">
      <c r="A1534" t="str">
        <f t="shared" si="118"/>
        <v>山口大学3207女</v>
      </c>
      <c r="B1534" s="150" t="s">
        <v>1311</v>
      </c>
      <c r="C1534" s="150">
        <v>3207</v>
      </c>
      <c r="D1534" s="150" t="s">
        <v>4213</v>
      </c>
      <c r="E1534" s="150" t="s">
        <v>4607</v>
      </c>
      <c r="F1534" s="150" t="s">
        <v>265</v>
      </c>
      <c r="G1534" s="149" t="s">
        <v>840</v>
      </c>
      <c r="H1534" s="151" t="str">
        <f t="shared" si="119"/>
        <v>1994/05/13</v>
      </c>
      <c r="I1534" s="150" t="s">
        <v>269</v>
      </c>
      <c r="J1534" s="150" t="s">
        <v>472</v>
      </c>
      <c r="K1534" s="101" t="str">
        <f t="shared" si="120"/>
        <v>94</v>
      </c>
      <c r="L1534" s="101" t="str">
        <f t="shared" si="121"/>
        <v>05</v>
      </c>
      <c r="M1534" s="101" t="str">
        <f t="shared" si="122"/>
        <v>13</v>
      </c>
    </row>
    <row r="1535" spans="1:13">
      <c r="A1535" t="str">
        <f t="shared" si="118"/>
        <v>山口大学3208女</v>
      </c>
      <c r="B1535" s="150" t="s">
        <v>1311</v>
      </c>
      <c r="C1535" s="150">
        <v>3208</v>
      </c>
      <c r="D1535" s="150" t="s">
        <v>4214</v>
      </c>
      <c r="E1535" s="150" t="s">
        <v>4608</v>
      </c>
      <c r="F1535" s="150" t="s">
        <v>265</v>
      </c>
      <c r="G1535" s="149" t="s">
        <v>840</v>
      </c>
      <c r="H1535" s="151" t="str">
        <f t="shared" si="119"/>
        <v>1994/05/03</v>
      </c>
      <c r="I1535" s="150" t="s">
        <v>269</v>
      </c>
      <c r="J1535" s="150" t="s">
        <v>599</v>
      </c>
      <c r="K1535" s="101" t="str">
        <f t="shared" si="120"/>
        <v>94</v>
      </c>
      <c r="L1535" s="101" t="str">
        <f t="shared" si="121"/>
        <v>05</v>
      </c>
      <c r="M1535" s="101" t="str">
        <f t="shared" si="122"/>
        <v>03</v>
      </c>
    </row>
    <row r="1536" spans="1:13">
      <c r="A1536" t="str">
        <f t="shared" si="118"/>
        <v>山口大学3209女</v>
      </c>
      <c r="B1536" s="150" t="s">
        <v>1311</v>
      </c>
      <c r="C1536" s="150">
        <v>3209</v>
      </c>
      <c r="D1536" s="150" t="s">
        <v>4215</v>
      </c>
      <c r="E1536" s="150" t="s">
        <v>4609</v>
      </c>
      <c r="F1536" s="150" t="s">
        <v>265</v>
      </c>
      <c r="G1536" s="149" t="s">
        <v>840</v>
      </c>
      <c r="H1536" s="151" t="str">
        <f t="shared" si="119"/>
        <v>1994/06/23</v>
      </c>
      <c r="I1536" s="150" t="s">
        <v>269</v>
      </c>
      <c r="J1536" s="150" t="s">
        <v>4835</v>
      </c>
      <c r="K1536" s="101" t="str">
        <f t="shared" si="120"/>
        <v>94</v>
      </c>
      <c r="L1536" s="101" t="str">
        <f t="shared" si="121"/>
        <v>06</v>
      </c>
      <c r="M1536" s="101" t="str">
        <f t="shared" si="122"/>
        <v>23</v>
      </c>
    </row>
    <row r="1537" spans="1:13">
      <c r="A1537" t="str">
        <f t="shared" si="118"/>
        <v>山口大学3210女</v>
      </c>
      <c r="B1537" s="150" t="s">
        <v>1311</v>
      </c>
      <c r="C1537" s="150">
        <v>3210</v>
      </c>
      <c r="D1537" s="150" t="s">
        <v>4216</v>
      </c>
      <c r="E1537" s="150" t="s">
        <v>4610</v>
      </c>
      <c r="F1537" s="150" t="s">
        <v>260</v>
      </c>
      <c r="G1537" s="149" t="s">
        <v>840</v>
      </c>
      <c r="H1537" s="151" t="str">
        <f t="shared" si="119"/>
        <v>1994/02/10</v>
      </c>
      <c r="I1537" s="150" t="s">
        <v>299</v>
      </c>
      <c r="J1537" s="150" t="s">
        <v>4836</v>
      </c>
      <c r="K1537" s="101" t="str">
        <f t="shared" si="120"/>
        <v>94</v>
      </c>
      <c r="L1537" s="101" t="str">
        <f t="shared" si="121"/>
        <v>02</v>
      </c>
      <c r="M1537" s="101" t="str">
        <f t="shared" si="122"/>
        <v>10</v>
      </c>
    </row>
    <row r="1538" spans="1:13">
      <c r="A1538" t="str">
        <f t="shared" ref="A1538:A1601" si="123">B1538&amp;C1538&amp;G1538</f>
        <v>山口大学3211女</v>
      </c>
      <c r="B1538" s="150" t="s">
        <v>1311</v>
      </c>
      <c r="C1538" s="150">
        <v>3211</v>
      </c>
      <c r="D1538" s="150" t="s">
        <v>4217</v>
      </c>
      <c r="E1538" s="150" t="s">
        <v>4611</v>
      </c>
      <c r="F1538" s="150" t="s">
        <v>279</v>
      </c>
      <c r="G1538" s="149" t="s">
        <v>840</v>
      </c>
      <c r="H1538" s="151" t="str">
        <f t="shared" si="119"/>
        <v>1991/11/06</v>
      </c>
      <c r="I1538" s="150" t="s">
        <v>269</v>
      </c>
      <c r="J1538" s="150" t="s">
        <v>4837</v>
      </c>
      <c r="K1538" s="101" t="str">
        <f t="shared" si="120"/>
        <v>91</v>
      </c>
      <c r="L1538" s="101" t="str">
        <f t="shared" si="121"/>
        <v>11</v>
      </c>
      <c r="M1538" s="101" t="str">
        <f t="shared" si="122"/>
        <v>06</v>
      </c>
    </row>
    <row r="1539" spans="1:13">
      <c r="A1539" t="str">
        <f t="shared" si="123"/>
        <v>福山平成大学3212女</v>
      </c>
      <c r="B1539" s="150" t="s">
        <v>2030</v>
      </c>
      <c r="C1539" s="150">
        <v>3212</v>
      </c>
      <c r="D1539" s="150" t="s">
        <v>4218</v>
      </c>
      <c r="E1539" s="150" t="s">
        <v>4612</v>
      </c>
      <c r="F1539" s="150" t="s">
        <v>265</v>
      </c>
      <c r="G1539" s="149" t="s">
        <v>840</v>
      </c>
      <c r="H1539" s="151" t="str">
        <f t="shared" ref="H1539:H1602" si="124">"19"&amp;K1539&amp;"/"&amp;L1539&amp;"/"&amp;M1539</f>
        <v>1995/02/14</v>
      </c>
      <c r="I1539" s="150" t="s">
        <v>295</v>
      </c>
      <c r="J1539" s="150" t="s">
        <v>375</v>
      </c>
      <c r="K1539" s="101" t="str">
        <f t="shared" si="120"/>
        <v>95</v>
      </c>
      <c r="L1539" s="101" t="str">
        <f t="shared" si="121"/>
        <v>02</v>
      </c>
      <c r="M1539" s="101" t="str">
        <f t="shared" si="122"/>
        <v>14</v>
      </c>
    </row>
    <row r="1540" spans="1:13">
      <c r="A1540" t="str">
        <f t="shared" si="123"/>
        <v>下関市立大学3213女</v>
      </c>
      <c r="B1540" s="150" t="s">
        <v>2318</v>
      </c>
      <c r="C1540" s="150">
        <v>3213</v>
      </c>
      <c r="D1540" s="150" t="s">
        <v>4219</v>
      </c>
      <c r="E1540" s="150" t="s">
        <v>4613</v>
      </c>
      <c r="F1540" s="150" t="s">
        <v>267</v>
      </c>
      <c r="G1540" s="149" t="s">
        <v>840</v>
      </c>
      <c r="H1540" s="151" t="str">
        <f t="shared" si="124"/>
        <v>1995/11/14</v>
      </c>
      <c r="I1540" s="150" t="s">
        <v>269</v>
      </c>
      <c r="J1540" s="150" t="s">
        <v>3761</v>
      </c>
      <c r="K1540" s="101" t="str">
        <f t="shared" si="120"/>
        <v>95</v>
      </c>
      <c r="L1540" s="101" t="str">
        <f t="shared" si="121"/>
        <v>11</v>
      </c>
      <c r="M1540" s="101" t="str">
        <f t="shared" si="122"/>
        <v>14</v>
      </c>
    </row>
    <row r="1541" spans="1:13">
      <c r="A1541" t="str">
        <f t="shared" si="123"/>
        <v>下関市立大学3214女</v>
      </c>
      <c r="B1541" s="150" t="s">
        <v>2318</v>
      </c>
      <c r="C1541" s="150">
        <v>3214</v>
      </c>
      <c r="D1541" s="150" t="s">
        <v>4220</v>
      </c>
      <c r="E1541" s="150" t="s">
        <v>4614</v>
      </c>
      <c r="F1541" s="150" t="s">
        <v>267</v>
      </c>
      <c r="G1541" s="149" t="s">
        <v>840</v>
      </c>
      <c r="H1541" s="151" t="str">
        <f t="shared" si="124"/>
        <v>1995/07/12</v>
      </c>
      <c r="I1541" s="150" t="s">
        <v>269</v>
      </c>
      <c r="J1541" s="150" t="s">
        <v>605</v>
      </c>
      <c r="K1541" s="101" t="str">
        <f t="shared" si="120"/>
        <v>95</v>
      </c>
      <c r="L1541" s="101" t="str">
        <f t="shared" si="121"/>
        <v>07</v>
      </c>
      <c r="M1541" s="101" t="str">
        <f t="shared" si="122"/>
        <v>12</v>
      </c>
    </row>
    <row r="1542" spans="1:13">
      <c r="A1542" t="str">
        <f t="shared" si="123"/>
        <v>徳島大学3215女</v>
      </c>
      <c r="B1542" s="150" t="s">
        <v>2345</v>
      </c>
      <c r="C1542" s="150">
        <v>3215</v>
      </c>
      <c r="D1542" s="150" t="s">
        <v>4221</v>
      </c>
      <c r="E1542" s="150" t="s">
        <v>4615</v>
      </c>
      <c r="F1542" s="150" t="s">
        <v>265</v>
      </c>
      <c r="G1542" s="149" t="s">
        <v>840</v>
      </c>
      <c r="H1542" s="151" t="str">
        <f t="shared" si="124"/>
        <v>1993/06/29</v>
      </c>
      <c r="I1542" s="150" t="s">
        <v>276</v>
      </c>
      <c r="J1542" s="150">
        <v>930629</v>
      </c>
      <c r="K1542" s="101" t="str">
        <f t="shared" si="120"/>
        <v>93</v>
      </c>
      <c r="L1542" s="101" t="str">
        <f t="shared" si="121"/>
        <v>06</v>
      </c>
      <c r="M1542" s="101" t="str">
        <f t="shared" si="122"/>
        <v>29</v>
      </c>
    </row>
    <row r="1543" spans="1:13">
      <c r="A1543" t="str">
        <f t="shared" si="123"/>
        <v>徳島大学3216女</v>
      </c>
      <c r="B1543" s="150" t="s">
        <v>2345</v>
      </c>
      <c r="C1543" s="150">
        <v>3216</v>
      </c>
      <c r="D1543" s="150" t="s">
        <v>4222</v>
      </c>
      <c r="E1543" s="150" t="s">
        <v>4616</v>
      </c>
      <c r="F1543" s="150" t="s">
        <v>265</v>
      </c>
      <c r="G1543" s="149" t="s">
        <v>840</v>
      </c>
      <c r="H1543" s="151" t="str">
        <f t="shared" si="124"/>
        <v>1994/11/27</v>
      </c>
      <c r="I1543" s="150" t="s">
        <v>276</v>
      </c>
      <c r="J1543" s="150">
        <v>941127</v>
      </c>
      <c r="K1543" s="101" t="str">
        <f t="shared" si="120"/>
        <v>94</v>
      </c>
      <c r="L1543" s="101" t="str">
        <f t="shared" si="121"/>
        <v>11</v>
      </c>
      <c r="M1543" s="101" t="str">
        <f t="shared" si="122"/>
        <v>27</v>
      </c>
    </row>
    <row r="1544" spans="1:13">
      <c r="A1544" t="str">
        <f t="shared" si="123"/>
        <v>徳島大学3217女</v>
      </c>
      <c r="B1544" s="150" t="s">
        <v>2345</v>
      </c>
      <c r="C1544" s="150">
        <v>3217</v>
      </c>
      <c r="D1544" s="150" t="s">
        <v>4223</v>
      </c>
      <c r="E1544" s="150" t="s">
        <v>4617</v>
      </c>
      <c r="F1544" s="150" t="s">
        <v>267</v>
      </c>
      <c r="G1544" s="149" t="s">
        <v>840</v>
      </c>
      <c r="H1544" s="151" t="str">
        <f t="shared" si="124"/>
        <v>1995/06/14</v>
      </c>
      <c r="I1544" s="150" t="s">
        <v>276</v>
      </c>
      <c r="J1544" s="150">
        <v>950614</v>
      </c>
      <c r="K1544" s="101" t="str">
        <f t="shared" si="120"/>
        <v>95</v>
      </c>
      <c r="L1544" s="101" t="str">
        <f t="shared" si="121"/>
        <v>06</v>
      </c>
      <c r="M1544" s="101" t="str">
        <f t="shared" si="122"/>
        <v>14</v>
      </c>
    </row>
    <row r="1545" spans="1:13">
      <c r="A1545" t="str">
        <f t="shared" si="123"/>
        <v>徳島大学3218女</v>
      </c>
      <c r="B1545" s="150" t="s">
        <v>2345</v>
      </c>
      <c r="C1545" s="150">
        <v>3218</v>
      </c>
      <c r="D1545" s="150" t="s">
        <v>4224</v>
      </c>
      <c r="E1545" s="150" t="s">
        <v>4618</v>
      </c>
      <c r="F1545" s="150" t="s">
        <v>267</v>
      </c>
      <c r="G1545" s="149" t="s">
        <v>840</v>
      </c>
      <c r="H1545" s="151" t="str">
        <f t="shared" si="124"/>
        <v>1996/03/18</v>
      </c>
      <c r="I1545" s="150" t="s">
        <v>276</v>
      </c>
      <c r="J1545" s="150">
        <v>960318</v>
      </c>
      <c r="K1545" s="101" t="str">
        <f t="shared" si="120"/>
        <v>96</v>
      </c>
      <c r="L1545" s="101" t="str">
        <f t="shared" si="121"/>
        <v>03</v>
      </c>
      <c r="M1545" s="101" t="str">
        <f t="shared" si="122"/>
        <v>18</v>
      </c>
    </row>
    <row r="1546" spans="1:13">
      <c r="A1546" t="str">
        <f t="shared" si="123"/>
        <v>徳島大学3219女</v>
      </c>
      <c r="B1546" s="150" t="s">
        <v>2345</v>
      </c>
      <c r="C1546" s="150">
        <v>3219</v>
      </c>
      <c r="D1546" s="150" t="s">
        <v>4225</v>
      </c>
      <c r="E1546" s="150" t="s">
        <v>4619</v>
      </c>
      <c r="F1546" s="150" t="s">
        <v>267</v>
      </c>
      <c r="G1546" s="149" t="s">
        <v>840</v>
      </c>
      <c r="H1546" s="151" t="str">
        <f t="shared" si="124"/>
        <v>1994/05/12</v>
      </c>
      <c r="I1546" s="150" t="s">
        <v>276</v>
      </c>
      <c r="J1546" s="150">
        <v>940512</v>
      </c>
      <c r="K1546" s="101" t="str">
        <f t="shared" si="120"/>
        <v>94</v>
      </c>
      <c r="L1546" s="101" t="str">
        <f t="shared" si="121"/>
        <v>05</v>
      </c>
      <c r="M1546" s="101" t="str">
        <f t="shared" si="122"/>
        <v>12</v>
      </c>
    </row>
    <row r="1547" spans="1:13">
      <c r="A1547" t="str">
        <f t="shared" si="123"/>
        <v>徳島大学3220女</v>
      </c>
      <c r="B1547" s="150" t="s">
        <v>2345</v>
      </c>
      <c r="C1547" s="150">
        <v>3220</v>
      </c>
      <c r="D1547" s="150" t="s">
        <v>4226</v>
      </c>
      <c r="E1547" s="150" t="s">
        <v>4620</v>
      </c>
      <c r="F1547" s="150" t="s">
        <v>267</v>
      </c>
      <c r="G1547" s="149" t="s">
        <v>840</v>
      </c>
      <c r="H1547" s="151" t="str">
        <f t="shared" si="124"/>
        <v>1995/09/29</v>
      </c>
      <c r="I1547" s="150" t="s">
        <v>276</v>
      </c>
      <c r="J1547" s="150">
        <v>950929</v>
      </c>
      <c r="K1547" s="101" t="str">
        <f t="shared" si="120"/>
        <v>95</v>
      </c>
      <c r="L1547" s="101" t="str">
        <f t="shared" si="121"/>
        <v>09</v>
      </c>
      <c r="M1547" s="101" t="str">
        <f t="shared" si="122"/>
        <v>29</v>
      </c>
    </row>
    <row r="1548" spans="1:13">
      <c r="A1548" t="str">
        <f t="shared" si="123"/>
        <v>島根大学3221女</v>
      </c>
      <c r="B1548" s="150" t="s">
        <v>1062</v>
      </c>
      <c r="C1548" s="150">
        <v>3221</v>
      </c>
      <c r="D1548" s="150" t="s">
        <v>4227</v>
      </c>
      <c r="E1548" s="150" t="s">
        <v>4621</v>
      </c>
      <c r="F1548" s="150" t="s">
        <v>267</v>
      </c>
      <c r="G1548" s="149" t="s">
        <v>840</v>
      </c>
      <c r="H1548" s="151" t="str">
        <f t="shared" si="124"/>
        <v>1995/08/30</v>
      </c>
      <c r="I1548" s="150" t="s">
        <v>301</v>
      </c>
      <c r="J1548" s="150" t="s">
        <v>609</v>
      </c>
      <c r="K1548" s="101" t="str">
        <f t="shared" si="120"/>
        <v>95</v>
      </c>
      <c r="L1548" s="101" t="str">
        <f t="shared" si="121"/>
        <v>08</v>
      </c>
      <c r="M1548" s="101" t="str">
        <f t="shared" si="122"/>
        <v>30</v>
      </c>
    </row>
    <row r="1549" spans="1:13">
      <c r="A1549" t="str">
        <f t="shared" si="123"/>
        <v>島根大学3222女</v>
      </c>
      <c r="B1549" s="150" t="s">
        <v>1062</v>
      </c>
      <c r="C1549" s="150">
        <v>3222</v>
      </c>
      <c r="D1549" s="150" t="s">
        <v>4228</v>
      </c>
      <c r="E1549" s="150" t="s">
        <v>4622</v>
      </c>
      <c r="F1549" s="150" t="s">
        <v>280</v>
      </c>
      <c r="G1549" s="149" t="s">
        <v>840</v>
      </c>
      <c r="H1549" s="151" t="str">
        <f t="shared" si="124"/>
        <v>1996/05/15</v>
      </c>
      <c r="I1549" s="150" t="s">
        <v>301</v>
      </c>
      <c r="J1549" s="150" t="s">
        <v>859</v>
      </c>
      <c r="K1549" s="101" t="str">
        <f t="shared" si="120"/>
        <v>96</v>
      </c>
      <c r="L1549" s="101" t="str">
        <f t="shared" si="121"/>
        <v>05</v>
      </c>
      <c r="M1549" s="101" t="str">
        <f t="shared" si="122"/>
        <v>15</v>
      </c>
    </row>
    <row r="1550" spans="1:13">
      <c r="A1550" t="str">
        <f t="shared" si="123"/>
        <v>高知県立大学3223女</v>
      </c>
      <c r="B1550" s="150" t="s">
        <v>3437</v>
      </c>
      <c r="C1550" s="150">
        <v>3223</v>
      </c>
      <c r="D1550" s="150" t="s">
        <v>4229</v>
      </c>
      <c r="E1550" s="150" t="s">
        <v>4623</v>
      </c>
      <c r="F1550" s="150" t="s">
        <v>267</v>
      </c>
      <c r="G1550" s="149" t="s">
        <v>840</v>
      </c>
      <c r="H1550" s="151" t="str">
        <f t="shared" si="124"/>
        <v>1996/02/21</v>
      </c>
      <c r="I1550" s="150" t="s">
        <v>263</v>
      </c>
      <c r="J1550" s="150" t="s">
        <v>355</v>
      </c>
      <c r="K1550" s="101" t="str">
        <f t="shared" si="120"/>
        <v>96</v>
      </c>
      <c r="L1550" s="101" t="str">
        <f t="shared" si="121"/>
        <v>02</v>
      </c>
      <c r="M1550" s="101" t="str">
        <f t="shared" si="122"/>
        <v>21</v>
      </c>
    </row>
    <row r="1551" spans="1:13">
      <c r="A1551" t="str">
        <f t="shared" si="123"/>
        <v>岡山大学3224女</v>
      </c>
      <c r="B1551" s="150" t="s">
        <v>1963</v>
      </c>
      <c r="C1551" s="150">
        <v>3224</v>
      </c>
      <c r="D1551" s="150" t="s">
        <v>4230</v>
      </c>
      <c r="E1551" s="150" t="s">
        <v>4624</v>
      </c>
      <c r="F1551" s="150" t="s">
        <v>264</v>
      </c>
      <c r="G1551" s="149" t="s">
        <v>840</v>
      </c>
      <c r="H1551" s="151" t="str">
        <f t="shared" si="124"/>
        <v>1993/03/02</v>
      </c>
      <c r="I1551" s="150" t="s">
        <v>299</v>
      </c>
      <c r="J1551" s="150" t="s">
        <v>669</v>
      </c>
      <c r="K1551" s="101" t="str">
        <f t="shared" si="120"/>
        <v>93</v>
      </c>
      <c r="L1551" s="101" t="str">
        <f t="shared" si="121"/>
        <v>03</v>
      </c>
      <c r="M1551" s="101" t="str">
        <f t="shared" si="122"/>
        <v>02</v>
      </c>
    </row>
    <row r="1552" spans="1:13">
      <c r="A1552" t="str">
        <f t="shared" si="123"/>
        <v>岡山大学3225女</v>
      </c>
      <c r="B1552" s="150" t="s">
        <v>1963</v>
      </c>
      <c r="C1552" s="150">
        <v>3225</v>
      </c>
      <c r="D1552" s="150" t="s">
        <v>4231</v>
      </c>
      <c r="E1552" s="150" t="s">
        <v>4625</v>
      </c>
      <c r="F1552" s="150" t="s">
        <v>260</v>
      </c>
      <c r="G1552" s="149" t="s">
        <v>840</v>
      </c>
      <c r="H1552" s="151" t="str">
        <f t="shared" si="124"/>
        <v>1993/08/08</v>
      </c>
      <c r="I1552" s="150" t="s">
        <v>299</v>
      </c>
      <c r="J1552" s="150" t="s">
        <v>841</v>
      </c>
      <c r="K1552" s="101" t="str">
        <f t="shared" si="120"/>
        <v>93</v>
      </c>
      <c r="L1552" s="101" t="str">
        <f t="shared" si="121"/>
        <v>08</v>
      </c>
      <c r="M1552" s="101" t="str">
        <f t="shared" si="122"/>
        <v>08</v>
      </c>
    </row>
    <row r="1553" spans="1:13">
      <c r="A1553" t="str">
        <f t="shared" si="123"/>
        <v>岡山大学3226女</v>
      </c>
      <c r="B1553" s="150" t="s">
        <v>1963</v>
      </c>
      <c r="C1553" s="150">
        <v>3226</v>
      </c>
      <c r="D1553" s="150" t="s">
        <v>4232</v>
      </c>
      <c r="E1553" s="150" t="s">
        <v>4626</v>
      </c>
      <c r="F1553" s="150" t="s">
        <v>260</v>
      </c>
      <c r="G1553" s="149" t="s">
        <v>840</v>
      </c>
      <c r="H1553" s="151" t="str">
        <f t="shared" si="124"/>
        <v>1994/02/03</v>
      </c>
      <c r="I1553" s="150" t="s">
        <v>277</v>
      </c>
      <c r="J1553" s="150" t="s">
        <v>3754</v>
      </c>
      <c r="K1553" s="101" t="str">
        <f t="shared" si="120"/>
        <v>94</v>
      </c>
      <c r="L1553" s="101" t="str">
        <f t="shared" si="121"/>
        <v>02</v>
      </c>
      <c r="M1553" s="101" t="str">
        <f t="shared" si="122"/>
        <v>03</v>
      </c>
    </row>
    <row r="1554" spans="1:13">
      <c r="A1554" t="str">
        <f t="shared" si="123"/>
        <v>岡山大学3227女</v>
      </c>
      <c r="B1554" s="150" t="s">
        <v>1963</v>
      </c>
      <c r="C1554" s="150">
        <v>3227</v>
      </c>
      <c r="D1554" s="150" t="s">
        <v>4233</v>
      </c>
      <c r="E1554" s="150" t="s">
        <v>4627</v>
      </c>
      <c r="F1554" s="150" t="s">
        <v>265</v>
      </c>
      <c r="G1554" s="149" t="s">
        <v>840</v>
      </c>
      <c r="H1554" s="151" t="str">
        <f t="shared" si="124"/>
        <v>1994/02/09</v>
      </c>
      <c r="I1554" s="150" t="s">
        <v>299</v>
      </c>
      <c r="J1554" s="150" t="s">
        <v>550</v>
      </c>
      <c r="K1554" s="101" t="str">
        <f t="shared" si="120"/>
        <v>94</v>
      </c>
      <c r="L1554" s="101" t="str">
        <f t="shared" si="121"/>
        <v>02</v>
      </c>
      <c r="M1554" s="101" t="str">
        <f t="shared" si="122"/>
        <v>09</v>
      </c>
    </row>
    <row r="1555" spans="1:13">
      <c r="A1555" t="str">
        <f t="shared" si="123"/>
        <v>岡山大学3228女</v>
      </c>
      <c r="B1555" s="150" t="s">
        <v>1963</v>
      </c>
      <c r="C1555" s="150">
        <v>3228</v>
      </c>
      <c r="D1555" s="150" t="s">
        <v>4234</v>
      </c>
      <c r="E1555" s="150" t="s">
        <v>4628</v>
      </c>
      <c r="F1555" s="150" t="s">
        <v>260</v>
      </c>
      <c r="G1555" s="149" t="s">
        <v>840</v>
      </c>
      <c r="H1555" s="151" t="str">
        <f t="shared" si="124"/>
        <v>1993/04/28</v>
      </c>
      <c r="I1555" s="150" t="s">
        <v>301</v>
      </c>
      <c r="J1555" s="150" t="s">
        <v>323</v>
      </c>
      <c r="K1555" s="101" t="str">
        <f t="shared" si="120"/>
        <v>93</v>
      </c>
      <c r="L1555" s="101" t="str">
        <f t="shared" si="121"/>
        <v>04</v>
      </c>
      <c r="M1555" s="101" t="str">
        <f t="shared" si="122"/>
        <v>28</v>
      </c>
    </row>
    <row r="1556" spans="1:13">
      <c r="A1556" t="str">
        <f t="shared" si="123"/>
        <v>岡山大学3229女</v>
      </c>
      <c r="B1556" s="150" t="s">
        <v>1963</v>
      </c>
      <c r="C1556" s="150">
        <v>3229</v>
      </c>
      <c r="D1556" s="150" t="s">
        <v>4235</v>
      </c>
      <c r="E1556" s="150" t="s">
        <v>4629</v>
      </c>
      <c r="F1556" s="150" t="s">
        <v>265</v>
      </c>
      <c r="G1556" s="149" t="s">
        <v>840</v>
      </c>
      <c r="H1556" s="151" t="str">
        <f t="shared" si="124"/>
        <v>1993/11/07</v>
      </c>
      <c r="I1556" s="150" t="s">
        <v>277</v>
      </c>
      <c r="J1556" s="150" t="s">
        <v>4838</v>
      </c>
      <c r="K1556" s="101" t="str">
        <f t="shared" si="120"/>
        <v>93</v>
      </c>
      <c r="L1556" s="101" t="str">
        <f t="shared" si="121"/>
        <v>11</v>
      </c>
      <c r="M1556" s="101" t="str">
        <f t="shared" si="122"/>
        <v>07</v>
      </c>
    </row>
    <row r="1557" spans="1:13">
      <c r="A1557" t="str">
        <f t="shared" si="123"/>
        <v>岡山大学3230女</v>
      </c>
      <c r="B1557" s="150" t="s">
        <v>1963</v>
      </c>
      <c r="C1557" s="150">
        <v>3230</v>
      </c>
      <c r="D1557" s="150" t="s">
        <v>4236</v>
      </c>
      <c r="E1557" s="150" t="s">
        <v>4630</v>
      </c>
      <c r="F1557" s="150" t="s">
        <v>265</v>
      </c>
      <c r="G1557" s="149" t="s">
        <v>840</v>
      </c>
      <c r="H1557" s="151" t="str">
        <f t="shared" si="124"/>
        <v>1993/05/07</v>
      </c>
      <c r="I1557" s="150" t="s">
        <v>299</v>
      </c>
      <c r="J1557" s="150" t="s">
        <v>345</v>
      </c>
      <c r="K1557" s="101" t="str">
        <f t="shared" si="120"/>
        <v>93</v>
      </c>
      <c r="L1557" s="101" t="str">
        <f t="shared" si="121"/>
        <v>05</v>
      </c>
      <c r="M1557" s="101" t="str">
        <f t="shared" si="122"/>
        <v>07</v>
      </c>
    </row>
    <row r="1558" spans="1:13">
      <c r="A1558" t="str">
        <f t="shared" si="123"/>
        <v>岡山大学3231女</v>
      </c>
      <c r="B1558" s="150" t="s">
        <v>1963</v>
      </c>
      <c r="C1558" s="150">
        <v>3231</v>
      </c>
      <c r="D1558" s="150" t="s">
        <v>4237</v>
      </c>
      <c r="E1558" s="150" t="s">
        <v>4631</v>
      </c>
      <c r="F1558" s="150" t="s">
        <v>265</v>
      </c>
      <c r="G1558" s="149" t="s">
        <v>840</v>
      </c>
      <c r="H1558" s="151" t="str">
        <f t="shared" si="124"/>
        <v>1994/05/16</v>
      </c>
      <c r="I1558" s="150" t="s">
        <v>299</v>
      </c>
      <c r="J1558" s="150" t="s">
        <v>791</v>
      </c>
      <c r="K1558" s="101" t="str">
        <f t="shared" si="120"/>
        <v>94</v>
      </c>
      <c r="L1558" s="101" t="str">
        <f t="shared" si="121"/>
        <v>05</v>
      </c>
      <c r="M1558" s="101" t="str">
        <f t="shared" si="122"/>
        <v>16</v>
      </c>
    </row>
    <row r="1559" spans="1:13">
      <c r="A1559" t="str">
        <f t="shared" si="123"/>
        <v>岡山大学3232女</v>
      </c>
      <c r="B1559" s="150" t="s">
        <v>1963</v>
      </c>
      <c r="C1559" s="150">
        <v>3232</v>
      </c>
      <c r="D1559" s="150" t="s">
        <v>4238</v>
      </c>
      <c r="E1559" s="150" t="s">
        <v>4632</v>
      </c>
      <c r="F1559" s="150" t="s">
        <v>267</v>
      </c>
      <c r="G1559" s="149" t="s">
        <v>840</v>
      </c>
      <c r="H1559" s="151" t="str">
        <f t="shared" si="124"/>
        <v>1995/06/19</v>
      </c>
      <c r="I1559" s="150" t="s">
        <v>277</v>
      </c>
      <c r="J1559" s="150" t="s">
        <v>3705</v>
      </c>
      <c r="K1559" s="101" t="str">
        <f t="shared" si="120"/>
        <v>95</v>
      </c>
      <c r="L1559" s="101" t="str">
        <f t="shared" si="121"/>
        <v>06</v>
      </c>
      <c r="M1559" s="101" t="str">
        <f t="shared" si="122"/>
        <v>19</v>
      </c>
    </row>
    <row r="1560" spans="1:13">
      <c r="A1560" t="str">
        <f t="shared" si="123"/>
        <v>岡山大学3233女</v>
      </c>
      <c r="B1560" s="150" t="s">
        <v>1963</v>
      </c>
      <c r="C1560" s="150">
        <v>3233</v>
      </c>
      <c r="D1560" s="150" t="s">
        <v>4239</v>
      </c>
      <c r="E1560" s="150" t="s">
        <v>4633</v>
      </c>
      <c r="F1560" s="150" t="s">
        <v>267</v>
      </c>
      <c r="G1560" s="149" t="s">
        <v>840</v>
      </c>
      <c r="H1560" s="151" t="str">
        <f t="shared" si="124"/>
        <v>1994/05/23</v>
      </c>
      <c r="I1560" s="150" t="s">
        <v>299</v>
      </c>
      <c r="J1560" s="150" t="s">
        <v>4839</v>
      </c>
      <c r="K1560" s="101" t="str">
        <f t="shared" si="120"/>
        <v>94</v>
      </c>
      <c r="L1560" s="101" t="str">
        <f t="shared" si="121"/>
        <v>05</v>
      </c>
      <c r="M1560" s="101" t="str">
        <f t="shared" si="122"/>
        <v>23</v>
      </c>
    </row>
    <row r="1561" spans="1:13">
      <c r="A1561" t="str">
        <f t="shared" si="123"/>
        <v>岡山大学3234女</v>
      </c>
      <c r="B1561" s="150" t="s">
        <v>1963</v>
      </c>
      <c r="C1561" s="150">
        <v>3234</v>
      </c>
      <c r="D1561" s="150" t="s">
        <v>4240</v>
      </c>
      <c r="E1561" s="150" t="s">
        <v>4634</v>
      </c>
      <c r="F1561" s="150" t="s">
        <v>267</v>
      </c>
      <c r="G1561" s="149" t="s">
        <v>840</v>
      </c>
      <c r="H1561" s="151" t="str">
        <f t="shared" si="124"/>
        <v>1995/04/22</v>
      </c>
      <c r="I1561" s="150" t="s">
        <v>299</v>
      </c>
      <c r="J1561" s="150" t="s">
        <v>359</v>
      </c>
      <c r="K1561" s="101" t="str">
        <f t="shared" si="120"/>
        <v>95</v>
      </c>
      <c r="L1561" s="101" t="str">
        <f t="shared" si="121"/>
        <v>04</v>
      </c>
      <c r="M1561" s="101" t="str">
        <f t="shared" si="122"/>
        <v>22</v>
      </c>
    </row>
    <row r="1562" spans="1:13">
      <c r="A1562" t="str">
        <f t="shared" si="123"/>
        <v>東亜大学3235女</v>
      </c>
      <c r="B1562" s="150" t="s">
        <v>2991</v>
      </c>
      <c r="C1562" s="150">
        <v>3235</v>
      </c>
      <c r="D1562" s="150" t="s">
        <v>4241</v>
      </c>
      <c r="E1562" s="150" t="s">
        <v>4635</v>
      </c>
      <c r="F1562" s="150" t="s">
        <v>265</v>
      </c>
      <c r="G1562" s="149" t="s">
        <v>840</v>
      </c>
      <c r="H1562" s="151" t="str">
        <f t="shared" si="124"/>
        <v>1994/05/15</v>
      </c>
      <c r="I1562" s="150" t="s">
        <v>268</v>
      </c>
      <c r="J1562" s="150" t="s">
        <v>867</v>
      </c>
      <c r="K1562" s="101" t="str">
        <f t="shared" si="120"/>
        <v>94</v>
      </c>
      <c r="L1562" s="101" t="str">
        <f t="shared" si="121"/>
        <v>05</v>
      </c>
      <c r="M1562" s="101" t="str">
        <f t="shared" si="122"/>
        <v>15</v>
      </c>
    </row>
    <row r="1563" spans="1:13">
      <c r="A1563" t="str">
        <f t="shared" si="123"/>
        <v>東亜大学3236女</v>
      </c>
      <c r="B1563" s="150" t="s">
        <v>2991</v>
      </c>
      <c r="C1563" s="150">
        <v>3236</v>
      </c>
      <c r="D1563" s="150" t="s">
        <v>4242</v>
      </c>
      <c r="E1563" s="150" t="s">
        <v>4636</v>
      </c>
      <c r="F1563" s="150" t="s">
        <v>265</v>
      </c>
      <c r="G1563" s="149" t="s">
        <v>840</v>
      </c>
      <c r="H1563" s="151" t="str">
        <f t="shared" si="124"/>
        <v>1994/12/21</v>
      </c>
      <c r="I1563" s="150" t="s">
        <v>269</v>
      </c>
      <c r="J1563" s="150" t="s">
        <v>437</v>
      </c>
      <c r="K1563" s="101" t="str">
        <f t="shared" si="120"/>
        <v>94</v>
      </c>
      <c r="L1563" s="101" t="str">
        <f t="shared" si="121"/>
        <v>12</v>
      </c>
      <c r="M1563" s="101" t="str">
        <f t="shared" si="122"/>
        <v>21</v>
      </c>
    </row>
    <row r="1564" spans="1:13">
      <c r="A1564" t="str">
        <f t="shared" si="123"/>
        <v>東亜大学3237女</v>
      </c>
      <c r="B1564" s="150" t="s">
        <v>2991</v>
      </c>
      <c r="C1564" s="150">
        <v>3237</v>
      </c>
      <c r="D1564" s="150" t="s">
        <v>4243</v>
      </c>
      <c r="E1564" s="150" t="s">
        <v>4637</v>
      </c>
      <c r="F1564" s="150" t="s">
        <v>265</v>
      </c>
      <c r="G1564" s="149" t="s">
        <v>840</v>
      </c>
      <c r="H1564" s="151" t="str">
        <f t="shared" si="124"/>
        <v>1994/08/06</v>
      </c>
      <c r="I1564" s="150" t="s">
        <v>281</v>
      </c>
      <c r="J1564" s="150" t="s">
        <v>443</v>
      </c>
      <c r="K1564" s="101" t="str">
        <f t="shared" si="120"/>
        <v>94</v>
      </c>
      <c r="L1564" s="101" t="str">
        <f t="shared" si="121"/>
        <v>08</v>
      </c>
      <c r="M1564" s="101" t="str">
        <f t="shared" si="122"/>
        <v>06</v>
      </c>
    </row>
    <row r="1565" spans="1:13">
      <c r="A1565" t="str">
        <f t="shared" si="123"/>
        <v>東亜大学3238女</v>
      </c>
      <c r="B1565" s="150" t="s">
        <v>2991</v>
      </c>
      <c r="C1565" s="150">
        <v>3238</v>
      </c>
      <c r="D1565" s="150" t="s">
        <v>4244</v>
      </c>
      <c r="E1565" s="150" t="s">
        <v>4</v>
      </c>
      <c r="F1565" s="150" t="s">
        <v>265</v>
      </c>
      <c r="G1565" s="149" t="s">
        <v>840</v>
      </c>
      <c r="H1565" s="151" t="str">
        <f t="shared" si="124"/>
        <v>1994/08/12</v>
      </c>
      <c r="I1565" s="150" t="s">
        <v>269</v>
      </c>
      <c r="J1565" s="150" t="s">
        <v>3899</v>
      </c>
      <c r="K1565" s="101" t="str">
        <f t="shared" si="120"/>
        <v>94</v>
      </c>
      <c r="L1565" s="101" t="str">
        <f t="shared" si="121"/>
        <v>08</v>
      </c>
      <c r="M1565" s="101" t="str">
        <f t="shared" si="122"/>
        <v>12</v>
      </c>
    </row>
    <row r="1566" spans="1:13">
      <c r="A1566" t="str">
        <f t="shared" si="123"/>
        <v>東亜大学3239女</v>
      </c>
      <c r="B1566" s="150" t="s">
        <v>2991</v>
      </c>
      <c r="C1566" s="150">
        <v>3239</v>
      </c>
      <c r="D1566" s="150" t="s">
        <v>4245</v>
      </c>
      <c r="E1566" s="150" t="s">
        <v>4638</v>
      </c>
      <c r="F1566" s="150" t="s">
        <v>267</v>
      </c>
      <c r="G1566" s="149" t="s">
        <v>840</v>
      </c>
      <c r="H1566" s="151" t="str">
        <f t="shared" si="124"/>
        <v>1995/11/24</v>
      </c>
      <c r="I1566" s="150" t="s">
        <v>269</v>
      </c>
      <c r="J1566" s="150" t="s">
        <v>497</v>
      </c>
      <c r="K1566" s="101" t="str">
        <f t="shared" si="120"/>
        <v>95</v>
      </c>
      <c r="L1566" s="101" t="str">
        <f t="shared" si="121"/>
        <v>11</v>
      </c>
      <c r="M1566" s="101" t="str">
        <f t="shared" si="122"/>
        <v>24</v>
      </c>
    </row>
    <row r="1567" spans="1:13">
      <c r="A1567" t="str">
        <f t="shared" si="123"/>
        <v>東亜大学3240女</v>
      </c>
      <c r="B1567" s="150" t="s">
        <v>2991</v>
      </c>
      <c r="C1567" s="150">
        <v>3240</v>
      </c>
      <c r="D1567" s="150" t="s">
        <v>4246</v>
      </c>
      <c r="E1567" s="150" t="s">
        <v>4639</v>
      </c>
      <c r="F1567" s="150" t="s">
        <v>267</v>
      </c>
      <c r="G1567" s="149" t="s">
        <v>840</v>
      </c>
      <c r="H1567" s="151" t="str">
        <f t="shared" si="124"/>
        <v>1995/12/06</v>
      </c>
      <c r="I1567" s="150" t="s">
        <v>269</v>
      </c>
      <c r="J1567" s="150" t="s">
        <v>750</v>
      </c>
      <c r="K1567" s="101" t="str">
        <f t="shared" si="120"/>
        <v>95</v>
      </c>
      <c r="L1567" s="101" t="str">
        <f t="shared" si="121"/>
        <v>12</v>
      </c>
      <c r="M1567" s="101" t="str">
        <f t="shared" si="122"/>
        <v>06</v>
      </c>
    </row>
    <row r="1568" spans="1:13">
      <c r="A1568" t="str">
        <f t="shared" si="123"/>
        <v>東亜大学3241女</v>
      </c>
      <c r="B1568" s="150" t="s">
        <v>2991</v>
      </c>
      <c r="C1568" s="150">
        <v>3241</v>
      </c>
      <c r="D1568" s="150" t="s">
        <v>4247</v>
      </c>
      <c r="E1568" s="150" t="s">
        <v>4640</v>
      </c>
      <c r="F1568" s="150" t="s">
        <v>267</v>
      </c>
      <c r="G1568" s="149" t="s">
        <v>840</v>
      </c>
      <c r="H1568" s="151" t="str">
        <f t="shared" si="124"/>
        <v>1995/07/31</v>
      </c>
      <c r="I1568" s="150" t="s">
        <v>275</v>
      </c>
      <c r="J1568" s="150" t="s">
        <v>524</v>
      </c>
      <c r="K1568" s="101" t="str">
        <f t="shared" si="120"/>
        <v>95</v>
      </c>
      <c r="L1568" s="101" t="str">
        <f t="shared" si="121"/>
        <v>07</v>
      </c>
      <c r="M1568" s="101" t="str">
        <f t="shared" si="122"/>
        <v>31</v>
      </c>
    </row>
    <row r="1569" spans="1:13">
      <c r="A1569" t="str">
        <f t="shared" si="123"/>
        <v>四国学院大学3242女</v>
      </c>
      <c r="B1569" s="150" t="s">
        <v>2548</v>
      </c>
      <c r="C1569" s="150">
        <v>3242</v>
      </c>
      <c r="D1569" s="150" t="s">
        <v>4248</v>
      </c>
      <c r="E1569" s="150" t="s">
        <v>4641</v>
      </c>
      <c r="F1569" s="150" t="s">
        <v>267</v>
      </c>
      <c r="G1569" s="149" t="s">
        <v>840</v>
      </c>
      <c r="H1569" s="151" t="str">
        <f t="shared" si="124"/>
        <v>1996/02/08</v>
      </c>
      <c r="I1569" s="150" t="s">
        <v>289</v>
      </c>
      <c r="J1569" s="150" t="s">
        <v>532</v>
      </c>
      <c r="K1569" s="101" t="str">
        <f t="shared" si="120"/>
        <v>96</v>
      </c>
      <c r="L1569" s="101" t="str">
        <f t="shared" si="121"/>
        <v>02</v>
      </c>
      <c r="M1569" s="101" t="str">
        <f t="shared" si="122"/>
        <v>08</v>
      </c>
    </row>
    <row r="1570" spans="1:13">
      <c r="A1570" t="str">
        <f t="shared" si="123"/>
        <v>鳥取大学3243女</v>
      </c>
      <c r="B1570" s="150" t="s">
        <v>2555</v>
      </c>
      <c r="C1570" s="150">
        <v>3243</v>
      </c>
      <c r="D1570" s="150" t="s">
        <v>4249</v>
      </c>
      <c r="E1570" s="150" t="s">
        <v>4642</v>
      </c>
      <c r="F1570" s="150" t="s">
        <v>265</v>
      </c>
      <c r="G1570" s="149" t="s">
        <v>840</v>
      </c>
      <c r="H1570" s="151" t="str">
        <f t="shared" si="124"/>
        <v>1994/03/09</v>
      </c>
      <c r="I1570" s="150" t="s">
        <v>302</v>
      </c>
      <c r="J1570" s="150" t="s">
        <v>3753</v>
      </c>
      <c r="K1570" s="101" t="str">
        <f t="shared" ref="K1570:K1633" si="125">MID(J1570,1,2)</f>
        <v>94</v>
      </c>
      <c r="L1570" s="101" t="str">
        <f t="shared" ref="L1570:L1633" si="126">MID(J1570,3,2)</f>
        <v>03</v>
      </c>
      <c r="M1570" s="101" t="str">
        <f t="shared" ref="M1570:M1633" si="127">MID(J1570,5,2)</f>
        <v>09</v>
      </c>
    </row>
    <row r="1571" spans="1:13">
      <c r="A1571" t="str">
        <f t="shared" si="123"/>
        <v>鳥取大学3244女</v>
      </c>
      <c r="B1571" s="150" t="s">
        <v>2555</v>
      </c>
      <c r="C1571" s="150">
        <v>3244</v>
      </c>
      <c r="D1571" s="150" t="s">
        <v>4250</v>
      </c>
      <c r="E1571" s="150" t="s">
        <v>4643</v>
      </c>
      <c r="F1571" s="150" t="s">
        <v>267</v>
      </c>
      <c r="G1571" s="149" t="s">
        <v>840</v>
      </c>
      <c r="H1571" s="151" t="str">
        <f t="shared" si="124"/>
        <v>1995/09/10</v>
      </c>
      <c r="I1571" s="150" t="s">
        <v>302</v>
      </c>
      <c r="J1571" s="150" t="s">
        <v>363</v>
      </c>
      <c r="K1571" s="101" t="str">
        <f t="shared" si="125"/>
        <v>95</v>
      </c>
      <c r="L1571" s="101" t="str">
        <f t="shared" si="126"/>
        <v>09</v>
      </c>
      <c r="M1571" s="101" t="str">
        <f t="shared" si="127"/>
        <v>10</v>
      </c>
    </row>
    <row r="1572" spans="1:13">
      <c r="A1572" t="str">
        <f t="shared" si="123"/>
        <v>鳥取大学3245女</v>
      </c>
      <c r="B1572" s="150" t="s">
        <v>2555</v>
      </c>
      <c r="C1572" s="150">
        <v>3245</v>
      </c>
      <c r="D1572" s="150" t="s">
        <v>4251</v>
      </c>
      <c r="E1572" s="150" t="s">
        <v>4644</v>
      </c>
      <c r="F1572" s="150" t="s">
        <v>267</v>
      </c>
      <c r="G1572" s="149" t="s">
        <v>840</v>
      </c>
      <c r="H1572" s="151" t="str">
        <f t="shared" si="124"/>
        <v>1995/05/24</v>
      </c>
      <c r="I1572" s="150" t="s">
        <v>302</v>
      </c>
      <c r="J1572" s="150" t="s">
        <v>528</v>
      </c>
      <c r="K1572" s="101" t="str">
        <f t="shared" si="125"/>
        <v>95</v>
      </c>
      <c r="L1572" s="101" t="str">
        <f t="shared" si="126"/>
        <v>05</v>
      </c>
      <c r="M1572" s="101" t="str">
        <f t="shared" si="127"/>
        <v>24</v>
      </c>
    </row>
    <row r="1573" spans="1:13">
      <c r="A1573" t="str">
        <f t="shared" si="123"/>
        <v>環太平洋大学3246女</v>
      </c>
      <c r="B1573" s="150" t="s">
        <v>2618</v>
      </c>
      <c r="C1573" s="150">
        <v>3246</v>
      </c>
      <c r="D1573" s="150" t="s">
        <v>4252</v>
      </c>
      <c r="E1573" s="150" t="s">
        <v>4645</v>
      </c>
      <c r="F1573" s="150" t="s">
        <v>260</v>
      </c>
      <c r="G1573" s="149" t="s">
        <v>840</v>
      </c>
      <c r="H1573" s="151" t="str">
        <f t="shared" si="124"/>
        <v>1993/04/11</v>
      </c>
      <c r="I1573" s="150" t="s">
        <v>304</v>
      </c>
      <c r="J1573" s="150" t="s">
        <v>4840</v>
      </c>
      <c r="K1573" s="101" t="str">
        <f t="shared" si="125"/>
        <v>93</v>
      </c>
      <c r="L1573" s="101" t="str">
        <f t="shared" si="126"/>
        <v>04</v>
      </c>
      <c r="M1573" s="101" t="str">
        <f t="shared" si="127"/>
        <v>11</v>
      </c>
    </row>
    <row r="1574" spans="1:13">
      <c r="A1574" t="str">
        <f t="shared" si="123"/>
        <v>環太平洋大学3247女</v>
      </c>
      <c r="B1574" s="150" t="s">
        <v>2618</v>
      </c>
      <c r="C1574" s="150">
        <v>3247</v>
      </c>
      <c r="D1574" s="150" t="s">
        <v>4253</v>
      </c>
      <c r="E1574" s="150" t="s">
        <v>4646</v>
      </c>
      <c r="F1574" s="150" t="s">
        <v>260</v>
      </c>
      <c r="G1574" s="149" t="s">
        <v>840</v>
      </c>
      <c r="H1574" s="151" t="str">
        <f t="shared" si="124"/>
        <v>1993/05/19</v>
      </c>
      <c r="I1574" s="150" t="s">
        <v>295</v>
      </c>
      <c r="J1574" s="150" t="s">
        <v>3668</v>
      </c>
      <c r="K1574" s="101" t="str">
        <f t="shared" si="125"/>
        <v>93</v>
      </c>
      <c r="L1574" s="101" t="str">
        <f t="shared" si="126"/>
        <v>05</v>
      </c>
      <c r="M1574" s="101" t="str">
        <f t="shared" si="127"/>
        <v>19</v>
      </c>
    </row>
    <row r="1575" spans="1:13">
      <c r="A1575" t="str">
        <f t="shared" si="123"/>
        <v>環太平洋大学3248女</v>
      </c>
      <c r="B1575" s="150" t="s">
        <v>2618</v>
      </c>
      <c r="C1575" s="150">
        <v>3248</v>
      </c>
      <c r="D1575" s="150" t="s">
        <v>4254</v>
      </c>
      <c r="E1575" s="150" t="s">
        <v>4647</v>
      </c>
      <c r="F1575" s="150" t="s">
        <v>260</v>
      </c>
      <c r="G1575" s="149" t="s">
        <v>840</v>
      </c>
      <c r="H1575" s="151" t="str">
        <f t="shared" si="124"/>
        <v>1993/12/31</v>
      </c>
      <c r="I1575" s="150" t="s">
        <v>304</v>
      </c>
      <c r="J1575" s="150" t="s">
        <v>4841</v>
      </c>
      <c r="K1575" s="101" t="str">
        <f t="shared" si="125"/>
        <v>93</v>
      </c>
      <c r="L1575" s="101" t="str">
        <f t="shared" si="126"/>
        <v>12</v>
      </c>
      <c r="M1575" s="101" t="str">
        <f t="shared" si="127"/>
        <v>31</v>
      </c>
    </row>
    <row r="1576" spans="1:13">
      <c r="A1576" t="str">
        <f t="shared" si="123"/>
        <v>環太平洋大学3249女</v>
      </c>
      <c r="B1576" s="150" t="s">
        <v>2618</v>
      </c>
      <c r="C1576" s="150">
        <v>3249</v>
      </c>
      <c r="D1576" s="150" t="s">
        <v>4255</v>
      </c>
      <c r="E1576" s="150" t="s">
        <v>4648</v>
      </c>
      <c r="F1576" s="150" t="s">
        <v>260</v>
      </c>
      <c r="G1576" s="149" t="s">
        <v>840</v>
      </c>
      <c r="H1576" s="151" t="str">
        <f t="shared" si="124"/>
        <v>1993/04/05</v>
      </c>
      <c r="I1576" s="150" t="s">
        <v>299</v>
      </c>
      <c r="J1576" s="150" t="s">
        <v>328</v>
      </c>
      <c r="K1576" s="101" t="str">
        <f t="shared" si="125"/>
        <v>93</v>
      </c>
      <c r="L1576" s="101" t="str">
        <f t="shared" si="126"/>
        <v>04</v>
      </c>
      <c r="M1576" s="101" t="str">
        <f t="shared" si="127"/>
        <v>05</v>
      </c>
    </row>
    <row r="1577" spans="1:13">
      <c r="A1577" t="str">
        <f t="shared" si="123"/>
        <v>環太平洋大学3250女</v>
      </c>
      <c r="B1577" s="150" t="s">
        <v>2618</v>
      </c>
      <c r="C1577" s="150">
        <v>3250</v>
      </c>
      <c r="D1577" s="150" t="s">
        <v>4256</v>
      </c>
      <c r="E1577" s="150" t="s">
        <v>4649</v>
      </c>
      <c r="F1577" s="150" t="s">
        <v>260</v>
      </c>
      <c r="G1577" s="149" t="s">
        <v>840</v>
      </c>
      <c r="H1577" s="151" t="str">
        <f t="shared" si="124"/>
        <v>1993/06/05</v>
      </c>
      <c r="I1577" s="150" t="s">
        <v>304</v>
      </c>
      <c r="J1577" s="150" t="s">
        <v>635</v>
      </c>
      <c r="K1577" s="101" t="str">
        <f t="shared" si="125"/>
        <v>93</v>
      </c>
      <c r="L1577" s="101" t="str">
        <f t="shared" si="126"/>
        <v>06</v>
      </c>
      <c r="M1577" s="101" t="str">
        <f t="shared" si="127"/>
        <v>05</v>
      </c>
    </row>
    <row r="1578" spans="1:13">
      <c r="A1578" t="str">
        <f t="shared" si="123"/>
        <v>環太平洋大学3251女</v>
      </c>
      <c r="B1578" s="150" t="s">
        <v>2618</v>
      </c>
      <c r="C1578" s="150">
        <v>3251</v>
      </c>
      <c r="D1578" s="150" t="s">
        <v>4257</v>
      </c>
      <c r="E1578" s="150" t="s">
        <v>4650</v>
      </c>
      <c r="F1578" s="150" t="s">
        <v>260</v>
      </c>
      <c r="G1578" s="149" t="s">
        <v>840</v>
      </c>
      <c r="H1578" s="151" t="str">
        <f t="shared" si="124"/>
        <v>1993/08/20</v>
      </c>
      <c r="I1578" s="150" t="s">
        <v>304</v>
      </c>
      <c r="J1578" s="150" t="s">
        <v>3887</v>
      </c>
      <c r="K1578" s="101" t="str">
        <f t="shared" si="125"/>
        <v>93</v>
      </c>
      <c r="L1578" s="101" t="str">
        <f t="shared" si="126"/>
        <v>08</v>
      </c>
      <c r="M1578" s="101" t="str">
        <f t="shared" si="127"/>
        <v>20</v>
      </c>
    </row>
    <row r="1579" spans="1:13">
      <c r="A1579" t="str">
        <f t="shared" si="123"/>
        <v>環太平洋大学3252女</v>
      </c>
      <c r="B1579" s="150" t="s">
        <v>2618</v>
      </c>
      <c r="C1579" s="150">
        <v>3252</v>
      </c>
      <c r="D1579" s="150" t="s">
        <v>4258</v>
      </c>
      <c r="E1579" s="150" t="s">
        <v>4651</v>
      </c>
      <c r="F1579" s="150" t="s">
        <v>265</v>
      </c>
      <c r="G1579" s="149" t="s">
        <v>840</v>
      </c>
      <c r="H1579" s="151" t="str">
        <f t="shared" si="124"/>
        <v>1994/06/26</v>
      </c>
      <c r="I1579" s="150" t="s">
        <v>290</v>
      </c>
      <c r="J1579" s="150" t="s">
        <v>659</v>
      </c>
      <c r="K1579" s="101" t="str">
        <f t="shared" si="125"/>
        <v>94</v>
      </c>
      <c r="L1579" s="101" t="str">
        <f t="shared" si="126"/>
        <v>06</v>
      </c>
      <c r="M1579" s="101" t="str">
        <f t="shared" si="127"/>
        <v>26</v>
      </c>
    </row>
    <row r="1580" spans="1:13">
      <c r="A1580" t="str">
        <f t="shared" si="123"/>
        <v>環太平洋大学3253女</v>
      </c>
      <c r="B1580" s="150" t="s">
        <v>2618</v>
      </c>
      <c r="C1580" s="150">
        <v>3253</v>
      </c>
      <c r="D1580" s="150" t="s">
        <v>4259</v>
      </c>
      <c r="E1580" s="150" t="s">
        <v>4652</v>
      </c>
      <c r="F1580" s="150" t="s">
        <v>265</v>
      </c>
      <c r="G1580" s="149" t="s">
        <v>840</v>
      </c>
      <c r="H1580" s="151" t="str">
        <f t="shared" si="124"/>
        <v>1994/07/05</v>
      </c>
      <c r="I1580" s="150" t="s">
        <v>281</v>
      </c>
      <c r="J1580" s="150" t="s">
        <v>374</v>
      </c>
      <c r="K1580" s="101" t="str">
        <f t="shared" si="125"/>
        <v>94</v>
      </c>
      <c r="L1580" s="101" t="str">
        <f t="shared" si="126"/>
        <v>07</v>
      </c>
      <c r="M1580" s="101" t="str">
        <f t="shared" si="127"/>
        <v>05</v>
      </c>
    </row>
    <row r="1581" spans="1:13">
      <c r="A1581" t="str">
        <f t="shared" si="123"/>
        <v>環太平洋大学3254女</v>
      </c>
      <c r="B1581" s="150" t="s">
        <v>2618</v>
      </c>
      <c r="C1581" s="150">
        <v>3254</v>
      </c>
      <c r="D1581" s="150" t="s">
        <v>4260</v>
      </c>
      <c r="E1581" s="150" t="s">
        <v>4653</v>
      </c>
      <c r="F1581" s="150" t="s">
        <v>265</v>
      </c>
      <c r="G1581" s="149" t="s">
        <v>840</v>
      </c>
      <c r="H1581" s="151" t="str">
        <f t="shared" si="124"/>
        <v>1994/06/16</v>
      </c>
      <c r="I1581" s="150" t="s">
        <v>304</v>
      </c>
      <c r="J1581" s="150" t="s">
        <v>444</v>
      </c>
      <c r="K1581" s="101" t="str">
        <f t="shared" si="125"/>
        <v>94</v>
      </c>
      <c r="L1581" s="101" t="str">
        <f t="shared" si="126"/>
        <v>06</v>
      </c>
      <c r="M1581" s="101" t="str">
        <f t="shared" si="127"/>
        <v>16</v>
      </c>
    </row>
    <row r="1582" spans="1:13">
      <c r="A1582" t="str">
        <f t="shared" si="123"/>
        <v>環太平洋大学3255女</v>
      </c>
      <c r="B1582" s="150" t="s">
        <v>2618</v>
      </c>
      <c r="C1582" s="150">
        <v>3255</v>
      </c>
      <c r="D1582" s="150" t="s">
        <v>4261</v>
      </c>
      <c r="E1582" s="150" t="s">
        <v>4654</v>
      </c>
      <c r="F1582" s="150" t="s">
        <v>265</v>
      </c>
      <c r="G1582" s="149" t="s">
        <v>840</v>
      </c>
      <c r="H1582" s="151" t="str">
        <f t="shared" si="124"/>
        <v>1994/08/10</v>
      </c>
      <c r="I1582" s="150" t="s">
        <v>277</v>
      </c>
      <c r="J1582" s="150" t="s">
        <v>854</v>
      </c>
      <c r="K1582" s="101" t="str">
        <f t="shared" si="125"/>
        <v>94</v>
      </c>
      <c r="L1582" s="101" t="str">
        <f t="shared" si="126"/>
        <v>08</v>
      </c>
      <c r="M1582" s="101" t="str">
        <f t="shared" si="127"/>
        <v>10</v>
      </c>
    </row>
    <row r="1583" spans="1:13">
      <c r="A1583" t="str">
        <f t="shared" si="123"/>
        <v>環太平洋大学3256女</v>
      </c>
      <c r="B1583" s="150" t="s">
        <v>2618</v>
      </c>
      <c r="C1583" s="150">
        <v>3256</v>
      </c>
      <c r="D1583" s="150" t="s">
        <v>4262</v>
      </c>
      <c r="E1583" s="150" t="s">
        <v>4655</v>
      </c>
      <c r="F1583" s="150" t="s">
        <v>265</v>
      </c>
      <c r="G1583" s="149" t="s">
        <v>840</v>
      </c>
      <c r="H1583" s="151" t="str">
        <f t="shared" si="124"/>
        <v>1994/04/26</v>
      </c>
      <c r="I1583" s="150" t="s">
        <v>276</v>
      </c>
      <c r="J1583" s="150" t="s">
        <v>440</v>
      </c>
      <c r="K1583" s="101" t="str">
        <f t="shared" si="125"/>
        <v>94</v>
      </c>
      <c r="L1583" s="101" t="str">
        <f t="shared" si="126"/>
        <v>04</v>
      </c>
      <c r="M1583" s="101" t="str">
        <f t="shared" si="127"/>
        <v>26</v>
      </c>
    </row>
    <row r="1584" spans="1:13">
      <c r="A1584" t="str">
        <f t="shared" si="123"/>
        <v>環太平洋大学3257女</v>
      </c>
      <c r="B1584" s="150" t="s">
        <v>2618</v>
      </c>
      <c r="C1584" s="150">
        <v>3257</v>
      </c>
      <c r="D1584" s="150" t="s">
        <v>4263</v>
      </c>
      <c r="E1584" s="150" t="s">
        <v>4656</v>
      </c>
      <c r="F1584" s="150" t="s">
        <v>265</v>
      </c>
      <c r="G1584" s="149" t="s">
        <v>840</v>
      </c>
      <c r="H1584" s="151" t="str">
        <f t="shared" si="124"/>
        <v>1994/09/26</v>
      </c>
      <c r="I1584" s="150" t="s">
        <v>299</v>
      </c>
      <c r="J1584" s="150" t="s">
        <v>3670</v>
      </c>
      <c r="K1584" s="101" t="str">
        <f t="shared" si="125"/>
        <v>94</v>
      </c>
      <c r="L1584" s="101" t="str">
        <f t="shared" si="126"/>
        <v>09</v>
      </c>
      <c r="M1584" s="101" t="str">
        <f t="shared" si="127"/>
        <v>26</v>
      </c>
    </row>
    <row r="1585" spans="1:13">
      <c r="A1585" t="str">
        <f t="shared" si="123"/>
        <v>環太平洋大学3258女</v>
      </c>
      <c r="B1585" s="150" t="s">
        <v>2618</v>
      </c>
      <c r="C1585" s="150">
        <v>3258</v>
      </c>
      <c r="D1585" s="150" t="s">
        <v>4264</v>
      </c>
      <c r="E1585" s="150" t="s">
        <v>4657</v>
      </c>
      <c r="F1585" s="150" t="s">
        <v>265</v>
      </c>
      <c r="G1585" s="149" t="s">
        <v>840</v>
      </c>
      <c r="H1585" s="151" t="str">
        <f t="shared" si="124"/>
        <v>1994/04/16</v>
      </c>
      <c r="I1585" s="150" t="s">
        <v>299</v>
      </c>
      <c r="J1585" s="150" t="s">
        <v>3898</v>
      </c>
      <c r="K1585" s="101" t="str">
        <f t="shared" si="125"/>
        <v>94</v>
      </c>
      <c r="L1585" s="101" t="str">
        <f t="shared" si="126"/>
        <v>04</v>
      </c>
      <c r="M1585" s="101" t="str">
        <f t="shared" si="127"/>
        <v>16</v>
      </c>
    </row>
    <row r="1586" spans="1:13">
      <c r="A1586" t="str">
        <f t="shared" si="123"/>
        <v>環太平洋大学3259女</v>
      </c>
      <c r="B1586" s="150" t="s">
        <v>2618</v>
      </c>
      <c r="C1586" s="150">
        <v>3259</v>
      </c>
      <c r="D1586" s="150" t="s">
        <v>4265</v>
      </c>
      <c r="E1586" s="150" t="s">
        <v>4658</v>
      </c>
      <c r="F1586" s="150" t="s">
        <v>265</v>
      </c>
      <c r="G1586" s="149" t="s">
        <v>840</v>
      </c>
      <c r="H1586" s="151" t="str">
        <f t="shared" si="124"/>
        <v>1994/12/12</v>
      </c>
      <c r="I1586" s="150" t="s">
        <v>289</v>
      </c>
      <c r="J1586" s="150" t="s">
        <v>406</v>
      </c>
      <c r="K1586" s="101" t="str">
        <f t="shared" si="125"/>
        <v>94</v>
      </c>
      <c r="L1586" s="101" t="str">
        <f t="shared" si="126"/>
        <v>12</v>
      </c>
      <c r="M1586" s="101" t="str">
        <f t="shared" si="127"/>
        <v>12</v>
      </c>
    </row>
    <row r="1587" spans="1:13">
      <c r="A1587" t="str">
        <f t="shared" si="123"/>
        <v>環太平洋大学3260女</v>
      </c>
      <c r="B1587" s="150" t="s">
        <v>2618</v>
      </c>
      <c r="C1587" s="150">
        <v>3260</v>
      </c>
      <c r="D1587" s="150" t="s">
        <v>4266</v>
      </c>
      <c r="E1587" s="150" t="s">
        <v>4659</v>
      </c>
      <c r="F1587" s="150" t="s">
        <v>265</v>
      </c>
      <c r="G1587" s="149" t="s">
        <v>840</v>
      </c>
      <c r="H1587" s="151" t="str">
        <f t="shared" si="124"/>
        <v>1994/09/08</v>
      </c>
      <c r="I1587" s="150" t="s">
        <v>304</v>
      </c>
      <c r="J1587" s="150" t="s">
        <v>893</v>
      </c>
      <c r="K1587" s="101" t="str">
        <f t="shared" si="125"/>
        <v>94</v>
      </c>
      <c r="L1587" s="101" t="str">
        <f t="shared" si="126"/>
        <v>09</v>
      </c>
      <c r="M1587" s="101" t="str">
        <f t="shared" si="127"/>
        <v>08</v>
      </c>
    </row>
    <row r="1588" spans="1:13">
      <c r="A1588" t="str">
        <f t="shared" si="123"/>
        <v>環太平洋大学3261女</v>
      </c>
      <c r="B1588" s="150" t="s">
        <v>2618</v>
      </c>
      <c r="C1588" s="150">
        <v>3261</v>
      </c>
      <c r="D1588" s="150" t="s">
        <v>4267</v>
      </c>
      <c r="E1588" s="150" t="s">
        <v>4660</v>
      </c>
      <c r="F1588" s="150" t="s">
        <v>265</v>
      </c>
      <c r="G1588" s="149" t="s">
        <v>840</v>
      </c>
      <c r="H1588" s="151" t="str">
        <f t="shared" si="124"/>
        <v>1994/01/25</v>
      </c>
      <c r="I1588" s="150" t="s">
        <v>304</v>
      </c>
      <c r="J1588" s="150" t="s">
        <v>3765</v>
      </c>
      <c r="K1588" s="101" t="str">
        <f t="shared" si="125"/>
        <v>94</v>
      </c>
      <c r="L1588" s="101" t="str">
        <f t="shared" si="126"/>
        <v>01</v>
      </c>
      <c r="M1588" s="101" t="str">
        <f t="shared" si="127"/>
        <v>25</v>
      </c>
    </row>
    <row r="1589" spans="1:13">
      <c r="A1589" t="str">
        <f t="shared" si="123"/>
        <v>環太平洋大学3262女</v>
      </c>
      <c r="B1589" s="150" t="s">
        <v>2618</v>
      </c>
      <c r="C1589" s="150">
        <v>3262</v>
      </c>
      <c r="D1589" s="150" t="s">
        <v>4268</v>
      </c>
      <c r="E1589" s="150" t="s">
        <v>4661</v>
      </c>
      <c r="F1589" s="150" t="s">
        <v>265</v>
      </c>
      <c r="G1589" s="149" t="s">
        <v>840</v>
      </c>
      <c r="H1589" s="151" t="str">
        <f t="shared" si="124"/>
        <v>1994/10/12</v>
      </c>
      <c r="I1589" s="150" t="s">
        <v>299</v>
      </c>
      <c r="J1589" s="150" t="s">
        <v>3699</v>
      </c>
      <c r="K1589" s="101" t="str">
        <f t="shared" si="125"/>
        <v>94</v>
      </c>
      <c r="L1589" s="101" t="str">
        <f t="shared" si="126"/>
        <v>10</v>
      </c>
      <c r="M1589" s="101" t="str">
        <f t="shared" si="127"/>
        <v>12</v>
      </c>
    </row>
    <row r="1590" spans="1:13">
      <c r="A1590" t="str">
        <f t="shared" si="123"/>
        <v>環太平洋大学3263女</v>
      </c>
      <c r="B1590" s="150" t="s">
        <v>2618</v>
      </c>
      <c r="C1590" s="150">
        <v>3263</v>
      </c>
      <c r="D1590" s="150" t="s">
        <v>4269</v>
      </c>
      <c r="E1590" s="150" t="s">
        <v>4662</v>
      </c>
      <c r="F1590" s="150" t="s">
        <v>265</v>
      </c>
      <c r="G1590" s="149" t="s">
        <v>840</v>
      </c>
      <c r="H1590" s="151" t="str">
        <f t="shared" si="124"/>
        <v>1994/08/10</v>
      </c>
      <c r="I1590" s="150" t="s">
        <v>290</v>
      </c>
      <c r="J1590" s="150" t="s">
        <v>854</v>
      </c>
      <c r="K1590" s="101" t="str">
        <f t="shared" si="125"/>
        <v>94</v>
      </c>
      <c r="L1590" s="101" t="str">
        <f t="shared" si="126"/>
        <v>08</v>
      </c>
      <c r="M1590" s="101" t="str">
        <f t="shared" si="127"/>
        <v>10</v>
      </c>
    </row>
    <row r="1591" spans="1:13">
      <c r="A1591" t="str">
        <f t="shared" si="123"/>
        <v>環太平洋大学3264女</v>
      </c>
      <c r="B1591" s="150" t="s">
        <v>2618</v>
      </c>
      <c r="C1591" s="150">
        <v>3264</v>
      </c>
      <c r="D1591" s="150" t="s">
        <v>4270</v>
      </c>
      <c r="E1591" s="150" t="s">
        <v>4663</v>
      </c>
      <c r="F1591" s="150" t="s">
        <v>265</v>
      </c>
      <c r="G1591" s="149" t="s">
        <v>840</v>
      </c>
      <c r="H1591" s="151" t="str">
        <f t="shared" si="124"/>
        <v>1994/08/19</v>
      </c>
      <c r="I1591" s="150" t="s">
        <v>269</v>
      </c>
      <c r="J1591" s="150" t="s">
        <v>3849</v>
      </c>
      <c r="K1591" s="101" t="str">
        <f t="shared" si="125"/>
        <v>94</v>
      </c>
      <c r="L1591" s="101" t="str">
        <f t="shared" si="126"/>
        <v>08</v>
      </c>
      <c r="M1591" s="101" t="str">
        <f t="shared" si="127"/>
        <v>19</v>
      </c>
    </row>
    <row r="1592" spans="1:13">
      <c r="A1592" t="str">
        <f t="shared" si="123"/>
        <v>環太平洋大学3265女</v>
      </c>
      <c r="B1592" s="150" t="s">
        <v>2618</v>
      </c>
      <c r="C1592" s="150">
        <v>3265</v>
      </c>
      <c r="D1592" s="150" t="s">
        <v>4271</v>
      </c>
      <c r="E1592" s="150" t="s">
        <v>4664</v>
      </c>
      <c r="F1592" s="150" t="s">
        <v>265</v>
      </c>
      <c r="G1592" s="149" t="s">
        <v>840</v>
      </c>
      <c r="H1592" s="151" t="str">
        <f t="shared" si="124"/>
        <v>1994/04/25</v>
      </c>
      <c r="I1592" s="150" t="s">
        <v>289</v>
      </c>
      <c r="J1592" s="150" t="s">
        <v>436</v>
      </c>
      <c r="K1592" s="101" t="str">
        <f t="shared" si="125"/>
        <v>94</v>
      </c>
      <c r="L1592" s="101" t="str">
        <f t="shared" si="126"/>
        <v>04</v>
      </c>
      <c r="M1592" s="101" t="str">
        <f t="shared" si="127"/>
        <v>25</v>
      </c>
    </row>
    <row r="1593" spans="1:13">
      <c r="A1593" t="str">
        <f t="shared" si="123"/>
        <v>環太平洋大学3266女</v>
      </c>
      <c r="B1593" s="150" t="s">
        <v>2618</v>
      </c>
      <c r="C1593" s="150">
        <v>3266</v>
      </c>
      <c r="D1593" s="150" t="s">
        <v>4272</v>
      </c>
      <c r="E1593" s="150" t="s">
        <v>4665</v>
      </c>
      <c r="F1593" s="150">
        <v>3</v>
      </c>
      <c r="G1593" s="149" t="s">
        <v>840</v>
      </c>
      <c r="H1593" s="151" t="str">
        <f t="shared" si="124"/>
        <v>1993/11/09</v>
      </c>
      <c r="I1593" s="150" t="s">
        <v>302</v>
      </c>
      <c r="J1593" s="150">
        <v>931109</v>
      </c>
      <c r="K1593" s="101" t="str">
        <f t="shared" si="125"/>
        <v>93</v>
      </c>
      <c r="L1593" s="101" t="str">
        <f t="shared" si="126"/>
        <v>11</v>
      </c>
      <c r="M1593" s="101" t="str">
        <f t="shared" si="127"/>
        <v>09</v>
      </c>
    </row>
    <row r="1594" spans="1:13">
      <c r="A1594" t="str">
        <f t="shared" si="123"/>
        <v>環太平洋大学3267女</v>
      </c>
      <c r="B1594" s="150" t="s">
        <v>2618</v>
      </c>
      <c r="C1594" s="150">
        <v>3267</v>
      </c>
      <c r="D1594" s="150" t="s">
        <v>4273</v>
      </c>
      <c r="E1594" s="150" t="s">
        <v>4666</v>
      </c>
      <c r="F1594" s="150" t="s">
        <v>267</v>
      </c>
      <c r="G1594" s="149" t="s">
        <v>840</v>
      </c>
      <c r="H1594" s="151" t="str">
        <f t="shared" si="124"/>
        <v>1995/06/21</v>
      </c>
      <c r="I1594" s="150" t="s">
        <v>299</v>
      </c>
      <c r="J1594" s="150">
        <v>950621</v>
      </c>
      <c r="K1594" s="101" t="str">
        <f t="shared" si="125"/>
        <v>95</v>
      </c>
      <c r="L1594" s="101" t="str">
        <f t="shared" si="126"/>
        <v>06</v>
      </c>
      <c r="M1594" s="101" t="str">
        <f t="shared" si="127"/>
        <v>21</v>
      </c>
    </row>
    <row r="1595" spans="1:13">
      <c r="A1595" t="str">
        <f t="shared" si="123"/>
        <v>環太平洋大学3268女</v>
      </c>
      <c r="B1595" s="150" t="s">
        <v>2618</v>
      </c>
      <c r="C1595" s="150">
        <v>3268</v>
      </c>
      <c r="D1595" s="150" t="s">
        <v>4274</v>
      </c>
      <c r="E1595" s="150" t="s">
        <v>4667</v>
      </c>
      <c r="F1595" s="150" t="s">
        <v>267</v>
      </c>
      <c r="G1595" s="149" t="s">
        <v>840</v>
      </c>
      <c r="H1595" s="151" t="str">
        <f t="shared" si="124"/>
        <v>1995/11/16</v>
      </c>
      <c r="I1595" s="150" t="s">
        <v>304</v>
      </c>
      <c r="J1595" s="150" t="s">
        <v>3737</v>
      </c>
      <c r="K1595" s="101" t="str">
        <f t="shared" si="125"/>
        <v>95</v>
      </c>
      <c r="L1595" s="101" t="str">
        <f t="shared" si="126"/>
        <v>11</v>
      </c>
      <c r="M1595" s="101" t="str">
        <f t="shared" si="127"/>
        <v>16</v>
      </c>
    </row>
    <row r="1596" spans="1:13">
      <c r="A1596" t="str">
        <f t="shared" si="123"/>
        <v>環太平洋大学3269女</v>
      </c>
      <c r="B1596" s="150" t="s">
        <v>2618</v>
      </c>
      <c r="C1596" s="150">
        <v>3269</v>
      </c>
      <c r="D1596" s="150" t="s">
        <v>4275</v>
      </c>
      <c r="E1596" s="150" t="s">
        <v>4668</v>
      </c>
      <c r="F1596" s="150" t="s">
        <v>267</v>
      </c>
      <c r="G1596" s="149" t="s">
        <v>840</v>
      </c>
      <c r="H1596" s="151" t="str">
        <f t="shared" si="124"/>
        <v>1996/01/01</v>
      </c>
      <c r="I1596" s="150" t="s">
        <v>304</v>
      </c>
      <c r="J1596" s="150" t="s">
        <v>3875</v>
      </c>
      <c r="K1596" s="101" t="str">
        <f t="shared" si="125"/>
        <v>96</v>
      </c>
      <c r="L1596" s="101" t="str">
        <f t="shared" si="126"/>
        <v>01</v>
      </c>
      <c r="M1596" s="101" t="str">
        <f t="shared" si="127"/>
        <v>01</v>
      </c>
    </row>
    <row r="1597" spans="1:13">
      <c r="A1597" t="str">
        <f t="shared" si="123"/>
        <v>環太平洋大学3270女</v>
      </c>
      <c r="B1597" s="150" t="s">
        <v>2618</v>
      </c>
      <c r="C1597" s="150">
        <v>3270</v>
      </c>
      <c r="D1597" s="150" t="s">
        <v>4276</v>
      </c>
      <c r="E1597" s="150" t="s">
        <v>4669</v>
      </c>
      <c r="F1597" s="150" t="s">
        <v>267</v>
      </c>
      <c r="G1597" s="149" t="s">
        <v>840</v>
      </c>
      <c r="H1597" s="151" t="str">
        <f t="shared" si="124"/>
        <v>1996/01/21</v>
      </c>
      <c r="I1597" s="150" t="s">
        <v>281</v>
      </c>
      <c r="J1597" s="150" t="s">
        <v>426</v>
      </c>
      <c r="K1597" s="101" t="str">
        <f t="shared" si="125"/>
        <v>96</v>
      </c>
      <c r="L1597" s="101" t="str">
        <f t="shared" si="126"/>
        <v>01</v>
      </c>
      <c r="M1597" s="101" t="str">
        <f t="shared" si="127"/>
        <v>21</v>
      </c>
    </row>
    <row r="1598" spans="1:13">
      <c r="A1598" t="str">
        <f t="shared" si="123"/>
        <v>環太平洋大学3271女</v>
      </c>
      <c r="B1598" s="150" t="s">
        <v>2618</v>
      </c>
      <c r="C1598" s="150">
        <v>3271</v>
      </c>
      <c r="D1598" s="150" t="s">
        <v>4277</v>
      </c>
      <c r="E1598" s="150" t="s">
        <v>4670</v>
      </c>
      <c r="F1598" s="150" t="s">
        <v>267</v>
      </c>
      <c r="G1598" s="149" t="s">
        <v>840</v>
      </c>
      <c r="H1598" s="151" t="str">
        <f t="shared" si="124"/>
        <v>1996/01/23</v>
      </c>
      <c r="I1598" s="150" t="s">
        <v>295</v>
      </c>
      <c r="J1598" s="150" t="s">
        <v>387</v>
      </c>
      <c r="K1598" s="101" t="str">
        <f t="shared" si="125"/>
        <v>96</v>
      </c>
      <c r="L1598" s="101" t="str">
        <f t="shared" si="126"/>
        <v>01</v>
      </c>
      <c r="M1598" s="101" t="str">
        <f t="shared" si="127"/>
        <v>23</v>
      </c>
    </row>
    <row r="1599" spans="1:13">
      <c r="A1599" t="str">
        <f t="shared" si="123"/>
        <v>環太平洋大学3272女</v>
      </c>
      <c r="B1599" s="150" t="s">
        <v>2618</v>
      </c>
      <c r="C1599" s="150">
        <v>3272</v>
      </c>
      <c r="D1599" s="150" t="s">
        <v>4278</v>
      </c>
      <c r="E1599" s="150" t="s">
        <v>4671</v>
      </c>
      <c r="F1599" s="150" t="s">
        <v>267</v>
      </c>
      <c r="G1599" s="149" t="s">
        <v>840</v>
      </c>
      <c r="H1599" s="151" t="str">
        <f t="shared" si="124"/>
        <v>1996/03/11</v>
      </c>
      <c r="I1599" s="150" t="s">
        <v>295</v>
      </c>
      <c r="J1599" s="150" t="s">
        <v>4842</v>
      </c>
      <c r="K1599" s="101" t="str">
        <f t="shared" si="125"/>
        <v>96</v>
      </c>
      <c r="L1599" s="101" t="str">
        <f t="shared" si="126"/>
        <v>03</v>
      </c>
      <c r="M1599" s="101" t="str">
        <f t="shared" si="127"/>
        <v>11</v>
      </c>
    </row>
    <row r="1600" spans="1:13">
      <c r="A1600" t="str">
        <f t="shared" si="123"/>
        <v>環太平洋大学3273女</v>
      </c>
      <c r="B1600" s="150" t="s">
        <v>2618</v>
      </c>
      <c r="C1600" s="150">
        <v>3273</v>
      </c>
      <c r="D1600" s="150" t="s">
        <v>4279</v>
      </c>
      <c r="E1600" s="150" t="s">
        <v>4672</v>
      </c>
      <c r="F1600" s="150" t="s">
        <v>267</v>
      </c>
      <c r="G1600" s="149" t="s">
        <v>840</v>
      </c>
      <c r="H1600" s="151" t="str">
        <f t="shared" si="124"/>
        <v>1995/09/21</v>
      </c>
      <c r="I1600" s="150" t="s">
        <v>289</v>
      </c>
      <c r="J1600" s="150" t="s">
        <v>608</v>
      </c>
      <c r="K1600" s="101" t="str">
        <f t="shared" si="125"/>
        <v>95</v>
      </c>
      <c r="L1600" s="101" t="str">
        <f t="shared" si="126"/>
        <v>09</v>
      </c>
      <c r="M1600" s="101" t="str">
        <f t="shared" si="127"/>
        <v>21</v>
      </c>
    </row>
    <row r="1601" spans="1:13">
      <c r="A1601" t="str">
        <f t="shared" si="123"/>
        <v>環太平洋大学3274女</v>
      </c>
      <c r="B1601" s="150" t="s">
        <v>2618</v>
      </c>
      <c r="C1601" s="150">
        <v>3274</v>
      </c>
      <c r="D1601" s="150" t="s">
        <v>4280</v>
      </c>
      <c r="E1601" s="150" t="s">
        <v>4673</v>
      </c>
      <c r="F1601" s="150" t="s">
        <v>267</v>
      </c>
      <c r="G1601" s="149" t="s">
        <v>840</v>
      </c>
      <c r="H1601" s="151" t="str">
        <f t="shared" si="124"/>
        <v>1995/06/25</v>
      </c>
      <c r="I1601" s="150" t="s">
        <v>295</v>
      </c>
      <c r="J1601" s="150" t="s">
        <v>604</v>
      </c>
      <c r="K1601" s="101" t="str">
        <f t="shared" si="125"/>
        <v>95</v>
      </c>
      <c r="L1601" s="101" t="str">
        <f t="shared" si="126"/>
        <v>06</v>
      </c>
      <c r="M1601" s="101" t="str">
        <f t="shared" si="127"/>
        <v>25</v>
      </c>
    </row>
    <row r="1602" spans="1:13">
      <c r="A1602" t="str">
        <f t="shared" ref="A1602:A1665" si="128">B1602&amp;C1602&amp;G1602</f>
        <v>環太平洋大学3275女</v>
      </c>
      <c r="B1602" s="150" t="s">
        <v>2618</v>
      </c>
      <c r="C1602" s="150">
        <v>3275</v>
      </c>
      <c r="D1602" s="150" t="s">
        <v>4281</v>
      </c>
      <c r="E1602" s="150" t="s">
        <v>4674</v>
      </c>
      <c r="F1602" s="150" t="s">
        <v>267</v>
      </c>
      <c r="G1602" s="149" t="s">
        <v>840</v>
      </c>
      <c r="H1602" s="151" t="str">
        <f t="shared" si="124"/>
        <v>1995/09/26</v>
      </c>
      <c r="I1602" s="150" t="s">
        <v>295</v>
      </c>
      <c r="J1602" s="150" t="s">
        <v>491</v>
      </c>
      <c r="K1602" s="101" t="str">
        <f t="shared" si="125"/>
        <v>95</v>
      </c>
      <c r="L1602" s="101" t="str">
        <f t="shared" si="126"/>
        <v>09</v>
      </c>
      <c r="M1602" s="101" t="str">
        <f t="shared" si="127"/>
        <v>26</v>
      </c>
    </row>
    <row r="1603" spans="1:13">
      <c r="A1603" t="str">
        <f t="shared" si="128"/>
        <v>環太平洋大学3276女</v>
      </c>
      <c r="B1603" s="150" t="s">
        <v>2618</v>
      </c>
      <c r="C1603" s="150">
        <v>3276</v>
      </c>
      <c r="D1603" s="150" t="s">
        <v>4282</v>
      </c>
      <c r="E1603" s="150" t="s">
        <v>4675</v>
      </c>
      <c r="F1603" s="150" t="s">
        <v>267</v>
      </c>
      <c r="G1603" s="149" t="s">
        <v>840</v>
      </c>
      <c r="H1603" s="151" t="str">
        <f t="shared" ref="H1603:H1666" si="129">"19"&amp;K1603&amp;"/"&amp;L1603&amp;"/"&amp;M1603</f>
        <v>1995/05/01</v>
      </c>
      <c r="I1603" s="150" t="s">
        <v>295</v>
      </c>
      <c r="J1603" s="150" t="s">
        <v>538</v>
      </c>
      <c r="K1603" s="101" t="str">
        <f t="shared" si="125"/>
        <v>95</v>
      </c>
      <c r="L1603" s="101" t="str">
        <f t="shared" si="126"/>
        <v>05</v>
      </c>
      <c r="M1603" s="101" t="str">
        <f t="shared" si="127"/>
        <v>01</v>
      </c>
    </row>
    <row r="1604" spans="1:13">
      <c r="A1604" t="str">
        <f t="shared" si="128"/>
        <v>環太平洋大学3277女</v>
      </c>
      <c r="B1604" s="150" t="s">
        <v>2618</v>
      </c>
      <c r="C1604" s="150">
        <v>3277</v>
      </c>
      <c r="D1604" s="150" t="s">
        <v>4283</v>
      </c>
      <c r="E1604" s="150" t="s">
        <v>4676</v>
      </c>
      <c r="F1604" s="150" t="s">
        <v>267</v>
      </c>
      <c r="G1604" s="149" t="s">
        <v>840</v>
      </c>
      <c r="H1604" s="151" t="str">
        <f t="shared" si="129"/>
        <v>1995/11/30</v>
      </c>
      <c r="I1604" s="150" t="s">
        <v>289</v>
      </c>
      <c r="J1604" s="150" t="s">
        <v>351</v>
      </c>
      <c r="K1604" s="101" t="str">
        <f t="shared" si="125"/>
        <v>95</v>
      </c>
      <c r="L1604" s="101" t="str">
        <f t="shared" si="126"/>
        <v>11</v>
      </c>
      <c r="M1604" s="101" t="str">
        <f t="shared" si="127"/>
        <v>30</v>
      </c>
    </row>
    <row r="1605" spans="1:13">
      <c r="A1605" t="str">
        <f t="shared" si="128"/>
        <v>環太平洋大学3278女</v>
      </c>
      <c r="B1605" s="150" t="s">
        <v>2618</v>
      </c>
      <c r="C1605" s="150">
        <v>3278</v>
      </c>
      <c r="D1605" s="150" t="s">
        <v>4284</v>
      </c>
      <c r="E1605" s="150" t="s">
        <v>4677</v>
      </c>
      <c r="F1605" s="150" t="s">
        <v>267</v>
      </c>
      <c r="G1605" s="149" t="s">
        <v>840</v>
      </c>
      <c r="H1605" s="151" t="str">
        <f t="shared" si="129"/>
        <v>1995/06/28</v>
      </c>
      <c r="I1605" s="150" t="s">
        <v>263</v>
      </c>
      <c r="J1605" s="150" t="s">
        <v>349</v>
      </c>
      <c r="K1605" s="101" t="str">
        <f t="shared" si="125"/>
        <v>95</v>
      </c>
      <c r="L1605" s="101" t="str">
        <f t="shared" si="126"/>
        <v>06</v>
      </c>
      <c r="M1605" s="101" t="str">
        <f t="shared" si="127"/>
        <v>28</v>
      </c>
    </row>
    <row r="1606" spans="1:13">
      <c r="A1606" t="str">
        <f t="shared" si="128"/>
        <v>環太平洋大学3279女</v>
      </c>
      <c r="B1606" s="150" t="s">
        <v>2618</v>
      </c>
      <c r="C1606" s="150">
        <v>3279</v>
      </c>
      <c r="D1606" s="150" t="s">
        <v>4285</v>
      </c>
      <c r="E1606" s="150" t="s">
        <v>4678</v>
      </c>
      <c r="F1606" s="150" t="s">
        <v>267</v>
      </c>
      <c r="G1606" s="149" t="s">
        <v>840</v>
      </c>
      <c r="H1606" s="151" t="str">
        <f t="shared" si="129"/>
        <v>1996/03/18</v>
      </c>
      <c r="I1606" s="150" t="s">
        <v>289</v>
      </c>
      <c r="J1606" s="150" t="s">
        <v>3816</v>
      </c>
      <c r="K1606" s="101" t="str">
        <f t="shared" si="125"/>
        <v>96</v>
      </c>
      <c r="L1606" s="101" t="str">
        <f t="shared" si="126"/>
        <v>03</v>
      </c>
      <c r="M1606" s="101" t="str">
        <f t="shared" si="127"/>
        <v>18</v>
      </c>
    </row>
    <row r="1607" spans="1:13">
      <c r="A1607" t="str">
        <f t="shared" si="128"/>
        <v>環太平洋大学3280女</v>
      </c>
      <c r="B1607" s="150" t="s">
        <v>2618</v>
      </c>
      <c r="C1607" s="150">
        <v>3280</v>
      </c>
      <c r="D1607" s="150" t="s">
        <v>4286</v>
      </c>
      <c r="E1607" s="150" t="s">
        <v>4679</v>
      </c>
      <c r="F1607" s="150" t="s">
        <v>267</v>
      </c>
      <c r="G1607" s="149" t="s">
        <v>840</v>
      </c>
      <c r="H1607" s="151" t="str">
        <f t="shared" si="129"/>
        <v>1996/03/06</v>
      </c>
      <c r="I1607" s="150" t="s">
        <v>295</v>
      </c>
      <c r="J1607" s="150" t="s">
        <v>664</v>
      </c>
      <c r="K1607" s="101" t="str">
        <f t="shared" si="125"/>
        <v>96</v>
      </c>
      <c r="L1607" s="101" t="str">
        <f t="shared" si="126"/>
        <v>03</v>
      </c>
      <c r="M1607" s="101" t="str">
        <f t="shared" si="127"/>
        <v>06</v>
      </c>
    </row>
    <row r="1608" spans="1:13">
      <c r="A1608" t="str">
        <f t="shared" si="128"/>
        <v>松山大学3281女</v>
      </c>
      <c r="B1608" s="150" t="s">
        <v>2840</v>
      </c>
      <c r="C1608" s="150">
        <v>3281</v>
      </c>
      <c r="D1608" s="150" t="s">
        <v>4287</v>
      </c>
      <c r="E1608" s="150" t="s">
        <v>4680</v>
      </c>
      <c r="F1608" s="150" t="s">
        <v>267</v>
      </c>
      <c r="G1608" s="149" t="s">
        <v>840</v>
      </c>
      <c r="H1608" s="151" t="str">
        <f t="shared" si="129"/>
        <v>1995/04/30</v>
      </c>
      <c r="I1608" s="150" t="s">
        <v>281</v>
      </c>
      <c r="J1608" s="150" t="s">
        <v>410</v>
      </c>
      <c r="K1608" s="101" t="str">
        <f t="shared" si="125"/>
        <v>95</v>
      </c>
      <c r="L1608" s="101" t="str">
        <f t="shared" si="126"/>
        <v>04</v>
      </c>
      <c r="M1608" s="101" t="str">
        <f t="shared" si="127"/>
        <v>30</v>
      </c>
    </row>
    <row r="1609" spans="1:13">
      <c r="A1609" t="str">
        <f t="shared" si="128"/>
        <v>松山大学3282女</v>
      </c>
      <c r="B1609" s="150" t="s">
        <v>2840</v>
      </c>
      <c r="C1609" s="150">
        <v>3282</v>
      </c>
      <c r="D1609" s="150" t="s">
        <v>4288</v>
      </c>
      <c r="E1609" s="150" t="s">
        <v>4681</v>
      </c>
      <c r="F1609" s="150" t="s">
        <v>267</v>
      </c>
      <c r="G1609" s="149" t="s">
        <v>840</v>
      </c>
      <c r="H1609" s="151" t="str">
        <f t="shared" si="129"/>
        <v>1995/10/14</v>
      </c>
      <c r="I1609" s="150" t="s">
        <v>281</v>
      </c>
      <c r="J1609" s="150" t="s">
        <v>505</v>
      </c>
      <c r="K1609" s="101" t="str">
        <f t="shared" si="125"/>
        <v>95</v>
      </c>
      <c r="L1609" s="101" t="str">
        <f t="shared" si="126"/>
        <v>10</v>
      </c>
      <c r="M1609" s="101" t="str">
        <f t="shared" si="127"/>
        <v>14</v>
      </c>
    </row>
    <row r="1610" spans="1:13">
      <c r="A1610" t="str">
        <f t="shared" si="128"/>
        <v>松山大学3283女</v>
      </c>
      <c r="B1610" s="150" t="s">
        <v>2840</v>
      </c>
      <c r="C1610" s="150">
        <v>3283</v>
      </c>
      <c r="D1610" s="150" t="s">
        <v>4289</v>
      </c>
      <c r="E1610" s="150" t="s">
        <v>4682</v>
      </c>
      <c r="F1610" s="150" t="s">
        <v>267</v>
      </c>
      <c r="G1610" s="149" t="s">
        <v>840</v>
      </c>
      <c r="H1610" s="151" t="str">
        <f t="shared" si="129"/>
        <v>1995/12/19</v>
      </c>
      <c r="I1610" s="150" t="s">
        <v>281</v>
      </c>
      <c r="J1610" s="150" t="s">
        <v>3873</v>
      </c>
      <c r="K1610" s="101" t="str">
        <f t="shared" si="125"/>
        <v>95</v>
      </c>
      <c r="L1610" s="101" t="str">
        <f t="shared" si="126"/>
        <v>12</v>
      </c>
      <c r="M1610" s="101" t="str">
        <f t="shared" si="127"/>
        <v>19</v>
      </c>
    </row>
    <row r="1611" spans="1:13">
      <c r="A1611" t="str">
        <f t="shared" si="128"/>
        <v>松山大学3284女</v>
      </c>
      <c r="B1611" s="150" t="s">
        <v>2840</v>
      </c>
      <c r="C1611" s="150">
        <v>3284</v>
      </c>
      <c r="D1611" s="150" t="s">
        <v>4290</v>
      </c>
      <c r="E1611" s="150" t="s">
        <v>4683</v>
      </c>
      <c r="F1611" s="150" t="s">
        <v>267</v>
      </c>
      <c r="G1611" s="149" t="s">
        <v>840</v>
      </c>
      <c r="H1611" s="151" t="str">
        <f t="shared" si="129"/>
        <v>1996/03/15</v>
      </c>
      <c r="I1611" s="150" t="s">
        <v>278</v>
      </c>
      <c r="J1611" s="150" t="s">
        <v>851</v>
      </c>
      <c r="K1611" s="101" t="str">
        <f t="shared" si="125"/>
        <v>96</v>
      </c>
      <c r="L1611" s="101" t="str">
        <f t="shared" si="126"/>
        <v>03</v>
      </c>
      <c r="M1611" s="101" t="str">
        <f t="shared" si="127"/>
        <v>15</v>
      </c>
    </row>
    <row r="1612" spans="1:13">
      <c r="A1612" t="str">
        <f t="shared" si="128"/>
        <v>松山大学3285女</v>
      </c>
      <c r="B1612" s="150" t="s">
        <v>2840</v>
      </c>
      <c r="C1612" s="150">
        <v>3285</v>
      </c>
      <c r="D1612" s="150" t="s">
        <v>4291</v>
      </c>
      <c r="E1612" s="150" t="s">
        <v>4684</v>
      </c>
      <c r="F1612" s="150" t="s">
        <v>267</v>
      </c>
      <c r="G1612" s="149" t="s">
        <v>840</v>
      </c>
      <c r="H1612" s="151" t="str">
        <f t="shared" si="129"/>
        <v>1996/03/06</v>
      </c>
      <c r="I1612" s="150" t="s">
        <v>268</v>
      </c>
      <c r="J1612" s="150" t="s">
        <v>664</v>
      </c>
      <c r="K1612" s="101" t="str">
        <f t="shared" si="125"/>
        <v>96</v>
      </c>
      <c r="L1612" s="101" t="str">
        <f t="shared" si="126"/>
        <v>03</v>
      </c>
      <c r="M1612" s="101" t="str">
        <f t="shared" si="127"/>
        <v>06</v>
      </c>
    </row>
    <row r="1613" spans="1:13">
      <c r="A1613" t="str">
        <f t="shared" si="128"/>
        <v>松山大学3286女</v>
      </c>
      <c r="B1613" s="150" t="s">
        <v>2840</v>
      </c>
      <c r="C1613" s="150">
        <v>3286</v>
      </c>
      <c r="D1613" s="150" t="s">
        <v>4292</v>
      </c>
      <c r="E1613" s="150" t="s">
        <v>4685</v>
      </c>
      <c r="F1613" s="150" t="s">
        <v>267</v>
      </c>
      <c r="G1613" s="149" t="s">
        <v>840</v>
      </c>
      <c r="H1613" s="151" t="str">
        <f t="shared" si="129"/>
        <v>1996/02/26</v>
      </c>
      <c r="I1613" s="150" t="s">
        <v>281</v>
      </c>
      <c r="J1613" s="150" t="s">
        <v>3637</v>
      </c>
      <c r="K1613" s="101" t="str">
        <f t="shared" si="125"/>
        <v>96</v>
      </c>
      <c r="L1613" s="101" t="str">
        <f t="shared" si="126"/>
        <v>02</v>
      </c>
      <c r="M1613" s="101" t="str">
        <f t="shared" si="127"/>
        <v>26</v>
      </c>
    </row>
    <row r="1614" spans="1:13">
      <c r="A1614" t="str">
        <f t="shared" si="128"/>
        <v>松山大学3287女</v>
      </c>
      <c r="B1614" s="150" t="s">
        <v>2840</v>
      </c>
      <c r="C1614" s="150">
        <v>3287</v>
      </c>
      <c r="D1614" s="150" t="s">
        <v>4293</v>
      </c>
      <c r="E1614" s="150" t="s">
        <v>4686</v>
      </c>
      <c r="F1614" s="150" t="s">
        <v>267</v>
      </c>
      <c r="G1614" s="149" t="s">
        <v>840</v>
      </c>
      <c r="H1614" s="151" t="str">
        <f t="shared" si="129"/>
        <v>1995/12/15</v>
      </c>
      <c r="I1614" s="150" t="s">
        <v>281</v>
      </c>
      <c r="J1614" s="150" t="s">
        <v>3985</v>
      </c>
      <c r="K1614" s="101" t="str">
        <f t="shared" si="125"/>
        <v>95</v>
      </c>
      <c r="L1614" s="101" t="str">
        <f t="shared" si="126"/>
        <v>12</v>
      </c>
      <c r="M1614" s="101" t="str">
        <f t="shared" si="127"/>
        <v>15</v>
      </c>
    </row>
    <row r="1615" spans="1:13">
      <c r="A1615" t="str">
        <f t="shared" si="128"/>
        <v>松山大学3288女</v>
      </c>
      <c r="B1615" s="150" t="s">
        <v>2840</v>
      </c>
      <c r="C1615" s="150">
        <v>3288</v>
      </c>
      <c r="D1615" s="150" t="s">
        <v>4294</v>
      </c>
      <c r="E1615" s="150" t="s">
        <v>4687</v>
      </c>
      <c r="F1615" s="150" t="s">
        <v>265</v>
      </c>
      <c r="G1615" s="149" t="s">
        <v>840</v>
      </c>
      <c r="H1615" s="151" t="str">
        <f t="shared" si="129"/>
        <v>1994/11/29</v>
      </c>
      <c r="I1615" s="150" t="s">
        <v>304</v>
      </c>
      <c r="J1615" s="150" t="s">
        <v>783</v>
      </c>
      <c r="K1615" s="101" t="str">
        <f t="shared" si="125"/>
        <v>94</v>
      </c>
      <c r="L1615" s="101" t="str">
        <f t="shared" si="126"/>
        <v>11</v>
      </c>
      <c r="M1615" s="101" t="str">
        <f t="shared" si="127"/>
        <v>29</v>
      </c>
    </row>
    <row r="1616" spans="1:13">
      <c r="A1616" t="str">
        <f t="shared" si="128"/>
        <v>松山大学3289女</v>
      </c>
      <c r="B1616" s="150" t="s">
        <v>2840</v>
      </c>
      <c r="C1616" s="150">
        <v>3289</v>
      </c>
      <c r="D1616" s="150" t="s">
        <v>4295</v>
      </c>
      <c r="E1616" s="150" t="s">
        <v>4688</v>
      </c>
      <c r="F1616" s="150" t="s">
        <v>265</v>
      </c>
      <c r="G1616" s="149" t="s">
        <v>840</v>
      </c>
      <c r="H1616" s="151" t="str">
        <f t="shared" si="129"/>
        <v>1994/06/14</v>
      </c>
      <c r="I1616" s="150" t="s">
        <v>281</v>
      </c>
      <c r="J1616" s="150" t="s">
        <v>3708</v>
      </c>
      <c r="K1616" s="101" t="str">
        <f t="shared" si="125"/>
        <v>94</v>
      </c>
      <c r="L1616" s="101" t="str">
        <f t="shared" si="126"/>
        <v>06</v>
      </c>
      <c r="M1616" s="101" t="str">
        <f t="shared" si="127"/>
        <v>14</v>
      </c>
    </row>
    <row r="1617" spans="1:13">
      <c r="A1617" t="str">
        <f t="shared" si="128"/>
        <v>松山大学3290女</v>
      </c>
      <c r="B1617" s="150" t="s">
        <v>2840</v>
      </c>
      <c r="C1617" s="150">
        <v>3290</v>
      </c>
      <c r="D1617" s="150" t="s">
        <v>4296</v>
      </c>
      <c r="E1617" s="150" t="s">
        <v>4689</v>
      </c>
      <c r="F1617" s="150" t="s">
        <v>265</v>
      </c>
      <c r="G1617" s="149" t="s">
        <v>840</v>
      </c>
      <c r="H1617" s="151" t="str">
        <f t="shared" si="129"/>
        <v>1994/11/23</v>
      </c>
      <c r="I1617" s="150" t="s">
        <v>281</v>
      </c>
      <c r="J1617" s="150" t="s">
        <v>4843</v>
      </c>
      <c r="K1617" s="101" t="str">
        <f t="shared" si="125"/>
        <v>94</v>
      </c>
      <c r="L1617" s="101" t="str">
        <f t="shared" si="126"/>
        <v>11</v>
      </c>
      <c r="M1617" s="101" t="str">
        <f t="shared" si="127"/>
        <v>23</v>
      </c>
    </row>
    <row r="1618" spans="1:13">
      <c r="A1618" t="str">
        <f t="shared" si="128"/>
        <v>松山大学3291女</v>
      </c>
      <c r="B1618" s="150" t="s">
        <v>2840</v>
      </c>
      <c r="C1618" s="150">
        <v>3291</v>
      </c>
      <c r="D1618" s="150" t="s">
        <v>4297</v>
      </c>
      <c r="E1618" s="150" t="s">
        <v>4690</v>
      </c>
      <c r="F1618" s="150" t="s">
        <v>265</v>
      </c>
      <c r="G1618" s="149" t="s">
        <v>840</v>
      </c>
      <c r="H1618" s="151" t="str">
        <f t="shared" si="129"/>
        <v>1994/04/18</v>
      </c>
      <c r="I1618" s="150" t="s">
        <v>263</v>
      </c>
      <c r="J1618" s="150" t="s">
        <v>439</v>
      </c>
      <c r="K1618" s="101" t="str">
        <f t="shared" si="125"/>
        <v>94</v>
      </c>
      <c r="L1618" s="101" t="str">
        <f t="shared" si="126"/>
        <v>04</v>
      </c>
      <c r="M1618" s="101" t="str">
        <f t="shared" si="127"/>
        <v>18</v>
      </c>
    </row>
    <row r="1619" spans="1:13">
      <c r="A1619" t="str">
        <f t="shared" si="128"/>
        <v>松山大学3292女</v>
      </c>
      <c r="B1619" s="150" t="s">
        <v>2840</v>
      </c>
      <c r="C1619" s="150">
        <v>3292</v>
      </c>
      <c r="D1619" s="150" t="s">
        <v>4298</v>
      </c>
      <c r="E1619" s="150" t="s">
        <v>4691</v>
      </c>
      <c r="F1619" s="150" t="s">
        <v>265</v>
      </c>
      <c r="G1619" s="149" t="s">
        <v>840</v>
      </c>
      <c r="H1619" s="151" t="str">
        <f t="shared" si="129"/>
        <v>1994/07/27</v>
      </c>
      <c r="I1619" s="150" t="s">
        <v>281</v>
      </c>
      <c r="J1619" s="150" t="s">
        <v>579</v>
      </c>
      <c r="K1619" s="101" t="str">
        <f t="shared" si="125"/>
        <v>94</v>
      </c>
      <c r="L1619" s="101" t="str">
        <f t="shared" si="126"/>
        <v>07</v>
      </c>
      <c r="M1619" s="101" t="str">
        <f t="shared" si="127"/>
        <v>27</v>
      </c>
    </row>
    <row r="1620" spans="1:13">
      <c r="A1620" t="str">
        <f t="shared" si="128"/>
        <v>松山大学3293女</v>
      </c>
      <c r="B1620" s="150" t="s">
        <v>2840</v>
      </c>
      <c r="C1620" s="150">
        <v>3293</v>
      </c>
      <c r="D1620" s="150" t="s">
        <v>4299</v>
      </c>
      <c r="E1620" s="150" t="s">
        <v>4692</v>
      </c>
      <c r="F1620" s="150" t="s">
        <v>260</v>
      </c>
      <c r="G1620" s="149" t="s">
        <v>840</v>
      </c>
      <c r="H1620" s="151" t="str">
        <f t="shared" si="129"/>
        <v>1994/01/26</v>
      </c>
      <c r="I1620" s="150" t="s">
        <v>281</v>
      </c>
      <c r="J1620" s="150" t="s">
        <v>336</v>
      </c>
      <c r="K1620" s="101" t="str">
        <f t="shared" si="125"/>
        <v>94</v>
      </c>
      <c r="L1620" s="101" t="str">
        <f t="shared" si="126"/>
        <v>01</v>
      </c>
      <c r="M1620" s="101" t="str">
        <f t="shared" si="127"/>
        <v>26</v>
      </c>
    </row>
    <row r="1621" spans="1:13">
      <c r="A1621" t="str">
        <f t="shared" si="128"/>
        <v>松山大学3294女</v>
      </c>
      <c r="B1621" s="150" t="s">
        <v>2840</v>
      </c>
      <c r="C1621" s="150">
        <v>3294</v>
      </c>
      <c r="D1621" s="150" t="s">
        <v>4300</v>
      </c>
      <c r="E1621" s="150" t="s">
        <v>4693</v>
      </c>
      <c r="F1621" s="150" t="s">
        <v>260</v>
      </c>
      <c r="G1621" s="149" t="s">
        <v>840</v>
      </c>
      <c r="H1621" s="151" t="str">
        <f t="shared" si="129"/>
        <v>1993/10/06</v>
      </c>
      <c r="I1621" s="150" t="s">
        <v>281</v>
      </c>
      <c r="J1621" s="150" t="s">
        <v>3726</v>
      </c>
      <c r="K1621" s="101" t="str">
        <f t="shared" si="125"/>
        <v>93</v>
      </c>
      <c r="L1621" s="101" t="str">
        <f t="shared" si="126"/>
        <v>10</v>
      </c>
      <c r="M1621" s="101" t="str">
        <f t="shared" si="127"/>
        <v>06</v>
      </c>
    </row>
    <row r="1622" spans="1:13">
      <c r="A1622" t="str">
        <f t="shared" si="128"/>
        <v>松山大学3295女</v>
      </c>
      <c r="B1622" s="150" t="s">
        <v>2840</v>
      </c>
      <c r="C1622" s="150">
        <v>3295</v>
      </c>
      <c r="D1622" s="150" t="s">
        <v>4301</v>
      </c>
      <c r="E1622" s="150" t="s">
        <v>4694</v>
      </c>
      <c r="F1622" s="150" t="s">
        <v>260</v>
      </c>
      <c r="G1622" s="149" t="s">
        <v>840</v>
      </c>
      <c r="H1622" s="151" t="str">
        <f t="shared" si="129"/>
        <v>1993/05/31</v>
      </c>
      <c r="I1622" s="150" t="s">
        <v>281</v>
      </c>
      <c r="J1622" s="150" t="s">
        <v>459</v>
      </c>
      <c r="K1622" s="101" t="str">
        <f t="shared" si="125"/>
        <v>93</v>
      </c>
      <c r="L1622" s="101" t="str">
        <f t="shared" si="126"/>
        <v>05</v>
      </c>
      <c r="M1622" s="101" t="str">
        <f t="shared" si="127"/>
        <v>31</v>
      </c>
    </row>
    <row r="1623" spans="1:13">
      <c r="A1623" t="str">
        <f t="shared" si="128"/>
        <v>松山大学3296女</v>
      </c>
      <c r="B1623" s="150" t="s">
        <v>2840</v>
      </c>
      <c r="C1623" s="150">
        <v>3296</v>
      </c>
      <c r="D1623" s="150" t="s">
        <v>4302</v>
      </c>
      <c r="E1623" s="150" t="s">
        <v>4695</v>
      </c>
      <c r="F1623" s="150" t="s">
        <v>260</v>
      </c>
      <c r="G1623" s="149" t="s">
        <v>840</v>
      </c>
      <c r="H1623" s="151" t="str">
        <f t="shared" si="129"/>
        <v>1993/12/10</v>
      </c>
      <c r="I1623" s="150" t="s">
        <v>294</v>
      </c>
      <c r="J1623" s="150" t="s">
        <v>334</v>
      </c>
      <c r="K1623" s="101" t="str">
        <f t="shared" si="125"/>
        <v>93</v>
      </c>
      <c r="L1623" s="101" t="str">
        <f t="shared" si="126"/>
        <v>12</v>
      </c>
      <c r="M1623" s="101" t="str">
        <f t="shared" si="127"/>
        <v>10</v>
      </c>
    </row>
    <row r="1624" spans="1:13">
      <c r="A1624" t="str">
        <f t="shared" si="128"/>
        <v>高知学園短期大学3297女</v>
      </c>
      <c r="B1624" s="150" t="s">
        <v>4007</v>
      </c>
      <c r="C1624" s="150">
        <v>3297</v>
      </c>
      <c r="D1624" s="150" t="s">
        <v>4303</v>
      </c>
      <c r="E1624" s="150" t="s">
        <v>4696</v>
      </c>
      <c r="F1624" s="150" t="s">
        <v>267</v>
      </c>
      <c r="G1624" s="149" t="s">
        <v>840</v>
      </c>
      <c r="H1624" s="151" t="str">
        <f t="shared" si="129"/>
        <v>1995/11/25</v>
      </c>
      <c r="I1624" s="150" t="s">
        <v>263</v>
      </c>
      <c r="J1624" s="150" t="s">
        <v>433</v>
      </c>
      <c r="K1624" s="101" t="str">
        <f t="shared" si="125"/>
        <v>95</v>
      </c>
      <c r="L1624" s="101" t="str">
        <f t="shared" si="126"/>
        <v>11</v>
      </c>
      <c r="M1624" s="101" t="str">
        <f t="shared" si="127"/>
        <v>25</v>
      </c>
    </row>
    <row r="1625" spans="1:13">
      <c r="A1625" t="str">
        <f t="shared" si="128"/>
        <v>高知学園短期大学3298女</v>
      </c>
      <c r="B1625" s="150" t="s">
        <v>4007</v>
      </c>
      <c r="C1625" s="150">
        <v>3298</v>
      </c>
      <c r="D1625" s="150" t="s">
        <v>4304</v>
      </c>
      <c r="E1625" s="150" t="s">
        <v>4697</v>
      </c>
      <c r="F1625" s="150" t="s">
        <v>267</v>
      </c>
      <c r="G1625" s="149" t="s">
        <v>840</v>
      </c>
      <c r="H1625" s="151" t="str">
        <f t="shared" si="129"/>
        <v>1995/07/28</v>
      </c>
      <c r="I1625" s="150" t="s">
        <v>263</v>
      </c>
      <c r="J1625" s="150" t="s">
        <v>452</v>
      </c>
      <c r="K1625" s="101" t="str">
        <f t="shared" si="125"/>
        <v>95</v>
      </c>
      <c r="L1625" s="101" t="str">
        <f t="shared" si="126"/>
        <v>07</v>
      </c>
      <c r="M1625" s="101" t="str">
        <f t="shared" si="127"/>
        <v>28</v>
      </c>
    </row>
    <row r="1626" spans="1:13">
      <c r="A1626" t="str">
        <f t="shared" si="128"/>
        <v>高知学園短期大学3299女</v>
      </c>
      <c r="B1626" s="150" t="s">
        <v>4007</v>
      </c>
      <c r="C1626" s="150">
        <v>3299</v>
      </c>
      <c r="D1626" s="150" t="s">
        <v>4305</v>
      </c>
      <c r="E1626" s="150" t="s">
        <v>4698</v>
      </c>
      <c r="F1626" s="150" t="s">
        <v>267</v>
      </c>
      <c r="G1626" s="149" t="s">
        <v>840</v>
      </c>
      <c r="H1626" s="151" t="str">
        <f t="shared" si="129"/>
        <v>1995/08/30</v>
      </c>
      <c r="I1626" s="150" t="s">
        <v>263</v>
      </c>
      <c r="J1626" s="150" t="s">
        <v>609</v>
      </c>
      <c r="K1626" s="101" t="str">
        <f t="shared" si="125"/>
        <v>95</v>
      </c>
      <c r="L1626" s="101" t="str">
        <f t="shared" si="126"/>
        <v>08</v>
      </c>
      <c r="M1626" s="101" t="str">
        <f t="shared" si="127"/>
        <v>30</v>
      </c>
    </row>
    <row r="1627" spans="1:13">
      <c r="A1627" t="str">
        <f t="shared" si="128"/>
        <v>高知学園短期大学3300女</v>
      </c>
      <c r="B1627" s="150" t="s">
        <v>4007</v>
      </c>
      <c r="C1627" s="150">
        <v>3300</v>
      </c>
      <c r="D1627" s="150" t="s">
        <v>4306</v>
      </c>
      <c r="E1627" s="150" t="s">
        <v>4699</v>
      </c>
      <c r="F1627" s="150" t="s">
        <v>280</v>
      </c>
      <c r="G1627" s="149" t="s">
        <v>840</v>
      </c>
      <c r="H1627" s="151" t="str">
        <f t="shared" si="129"/>
        <v>1996/07/15</v>
      </c>
      <c r="I1627" s="150" t="s">
        <v>263</v>
      </c>
      <c r="J1627" s="150" t="s">
        <v>928</v>
      </c>
      <c r="K1627" s="101" t="str">
        <f t="shared" si="125"/>
        <v>96</v>
      </c>
      <c r="L1627" s="101" t="str">
        <f t="shared" si="126"/>
        <v>07</v>
      </c>
      <c r="M1627" s="101" t="str">
        <f t="shared" si="127"/>
        <v>15</v>
      </c>
    </row>
    <row r="1628" spans="1:13">
      <c r="A1628" t="str">
        <f t="shared" si="128"/>
        <v>高知工科大学3301女</v>
      </c>
      <c r="B1628" s="150" t="s">
        <v>2951</v>
      </c>
      <c r="C1628" s="150">
        <v>3301</v>
      </c>
      <c r="D1628" s="150" t="s">
        <v>4307</v>
      </c>
      <c r="E1628" s="150" t="s">
        <v>4700</v>
      </c>
      <c r="F1628" s="150" t="s">
        <v>267</v>
      </c>
      <c r="G1628" s="149" t="s">
        <v>840</v>
      </c>
      <c r="H1628" s="151" t="str">
        <f t="shared" si="129"/>
        <v>1995/05/11</v>
      </c>
      <c r="I1628" s="150" t="s">
        <v>263</v>
      </c>
      <c r="J1628" s="150" t="s">
        <v>364</v>
      </c>
      <c r="K1628" s="101" t="str">
        <f t="shared" si="125"/>
        <v>95</v>
      </c>
      <c r="L1628" s="101" t="str">
        <f t="shared" si="126"/>
        <v>05</v>
      </c>
      <c r="M1628" s="101" t="str">
        <f t="shared" si="127"/>
        <v>11</v>
      </c>
    </row>
    <row r="1629" spans="1:13">
      <c r="A1629" t="str">
        <f t="shared" si="128"/>
        <v>山口県立大学3302女</v>
      </c>
      <c r="B1629" s="150" t="s">
        <v>2964</v>
      </c>
      <c r="C1629" s="150">
        <v>3302</v>
      </c>
      <c r="D1629" s="150" t="s">
        <v>4308</v>
      </c>
      <c r="E1629" s="150" t="s">
        <v>4701</v>
      </c>
      <c r="F1629" s="150" t="s">
        <v>260</v>
      </c>
      <c r="G1629" s="149" t="s">
        <v>840</v>
      </c>
      <c r="H1629" s="151" t="str">
        <f t="shared" si="129"/>
        <v>1993/04/25</v>
      </c>
      <c r="I1629" s="150" t="s">
        <v>269</v>
      </c>
      <c r="J1629" s="150" t="s">
        <v>372</v>
      </c>
      <c r="K1629" s="101" t="str">
        <f t="shared" si="125"/>
        <v>93</v>
      </c>
      <c r="L1629" s="101" t="str">
        <f t="shared" si="126"/>
        <v>04</v>
      </c>
      <c r="M1629" s="101" t="str">
        <f t="shared" si="127"/>
        <v>25</v>
      </c>
    </row>
    <row r="1630" spans="1:13">
      <c r="A1630" t="str">
        <f t="shared" si="128"/>
        <v>山口県立大学3303女</v>
      </c>
      <c r="B1630" s="150" t="s">
        <v>2964</v>
      </c>
      <c r="C1630" s="150">
        <v>3303</v>
      </c>
      <c r="D1630" s="150" t="s">
        <v>4309</v>
      </c>
      <c r="E1630" s="150" t="s">
        <v>4702</v>
      </c>
      <c r="F1630" s="150" t="s">
        <v>260</v>
      </c>
      <c r="G1630" s="149" t="s">
        <v>840</v>
      </c>
      <c r="H1630" s="151" t="str">
        <f t="shared" si="129"/>
        <v>1993/07/27</v>
      </c>
      <c r="I1630" s="150" t="s">
        <v>269</v>
      </c>
      <c r="J1630" s="150" t="s">
        <v>3683</v>
      </c>
      <c r="K1630" s="101" t="str">
        <f t="shared" si="125"/>
        <v>93</v>
      </c>
      <c r="L1630" s="101" t="str">
        <f t="shared" si="126"/>
        <v>07</v>
      </c>
      <c r="M1630" s="101" t="str">
        <f t="shared" si="127"/>
        <v>27</v>
      </c>
    </row>
    <row r="1631" spans="1:13">
      <c r="A1631" t="str">
        <f t="shared" si="128"/>
        <v>山口県立大学3304女</v>
      </c>
      <c r="B1631" s="150" t="s">
        <v>2964</v>
      </c>
      <c r="C1631" s="150">
        <v>3304</v>
      </c>
      <c r="D1631" s="150" t="s">
        <v>4310</v>
      </c>
      <c r="E1631" s="150" t="s">
        <v>4703</v>
      </c>
      <c r="F1631" s="150" t="s">
        <v>260</v>
      </c>
      <c r="G1631" s="149" t="s">
        <v>840</v>
      </c>
      <c r="H1631" s="151" t="str">
        <f t="shared" si="129"/>
        <v>1993/09/07</v>
      </c>
      <c r="I1631" s="150" t="s">
        <v>269</v>
      </c>
      <c r="J1631" s="150" t="s">
        <v>454</v>
      </c>
      <c r="K1631" s="101" t="str">
        <f t="shared" si="125"/>
        <v>93</v>
      </c>
      <c r="L1631" s="101" t="str">
        <f t="shared" si="126"/>
        <v>09</v>
      </c>
      <c r="M1631" s="101" t="str">
        <f t="shared" si="127"/>
        <v>07</v>
      </c>
    </row>
    <row r="1632" spans="1:13">
      <c r="A1632" t="str">
        <f t="shared" si="128"/>
        <v>山口県立大学3305女</v>
      </c>
      <c r="B1632" s="150" t="s">
        <v>2964</v>
      </c>
      <c r="C1632" s="150">
        <v>3305</v>
      </c>
      <c r="D1632" s="150" t="s">
        <v>4311</v>
      </c>
      <c r="E1632" s="150" t="s">
        <v>4704</v>
      </c>
      <c r="F1632" s="150" t="s">
        <v>267</v>
      </c>
      <c r="G1632" s="149" t="s">
        <v>840</v>
      </c>
      <c r="H1632" s="151" t="str">
        <f t="shared" si="129"/>
        <v>1995/10/18</v>
      </c>
      <c r="I1632" s="150" t="s">
        <v>269</v>
      </c>
      <c r="J1632" s="150" t="s">
        <v>493</v>
      </c>
      <c r="K1632" s="101" t="str">
        <f t="shared" si="125"/>
        <v>95</v>
      </c>
      <c r="L1632" s="101" t="str">
        <f t="shared" si="126"/>
        <v>10</v>
      </c>
      <c r="M1632" s="101" t="str">
        <f t="shared" si="127"/>
        <v>18</v>
      </c>
    </row>
    <row r="1633" spans="1:13">
      <c r="A1633" t="str">
        <f t="shared" si="128"/>
        <v>山口県立大学3306女</v>
      </c>
      <c r="B1633" s="150" t="s">
        <v>2964</v>
      </c>
      <c r="C1633" s="150">
        <v>3306</v>
      </c>
      <c r="D1633" s="150" t="s">
        <v>4312</v>
      </c>
      <c r="E1633" s="150" t="s">
        <v>4705</v>
      </c>
      <c r="F1633" s="150" t="s">
        <v>267</v>
      </c>
      <c r="G1633" s="149" t="s">
        <v>840</v>
      </c>
      <c r="H1633" s="151" t="str">
        <f t="shared" si="129"/>
        <v>1996/02/29</v>
      </c>
      <c r="I1633" s="150" t="s">
        <v>269</v>
      </c>
      <c r="J1633" s="150" t="s">
        <v>881</v>
      </c>
      <c r="K1633" s="101" t="str">
        <f t="shared" si="125"/>
        <v>96</v>
      </c>
      <c r="L1633" s="101" t="str">
        <f t="shared" si="126"/>
        <v>02</v>
      </c>
      <c r="M1633" s="101" t="str">
        <f t="shared" si="127"/>
        <v>29</v>
      </c>
    </row>
    <row r="1634" spans="1:13">
      <c r="A1634" t="str">
        <f t="shared" si="128"/>
        <v>山口県立大学3307女</v>
      </c>
      <c r="B1634" s="150" t="s">
        <v>2964</v>
      </c>
      <c r="C1634" s="150">
        <v>3307</v>
      </c>
      <c r="D1634" s="150" t="s">
        <v>4313</v>
      </c>
      <c r="E1634" s="150" t="s">
        <v>4706</v>
      </c>
      <c r="F1634" s="150" t="s">
        <v>267</v>
      </c>
      <c r="G1634" s="149" t="s">
        <v>840</v>
      </c>
      <c r="H1634" s="151" t="str">
        <f t="shared" si="129"/>
        <v>1995/06/06</v>
      </c>
      <c r="I1634" s="150" t="s">
        <v>269</v>
      </c>
      <c r="J1634" s="150" t="s">
        <v>782</v>
      </c>
      <c r="K1634" s="101" t="str">
        <f t="shared" ref="K1634:K1697" si="130">MID(J1634,1,2)</f>
        <v>95</v>
      </c>
      <c r="L1634" s="101" t="str">
        <f t="shared" ref="L1634:L1697" si="131">MID(J1634,3,2)</f>
        <v>06</v>
      </c>
      <c r="M1634" s="101" t="str">
        <f t="shared" ref="M1634:M1697" si="132">MID(J1634,5,2)</f>
        <v>06</v>
      </c>
    </row>
    <row r="1635" spans="1:13">
      <c r="A1635" t="str">
        <f t="shared" si="128"/>
        <v>徳山大学3308女</v>
      </c>
      <c r="B1635" s="150" t="s">
        <v>1250</v>
      </c>
      <c r="C1635" s="150">
        <v>3308</v>
      </c>
      <c r="D1635" s="150" t="s">
        <v>4314</v>
      </c>
      <c r="E1635" s="150" t="s">
        <v>4707</v>
      </c>
      <c r="F1635" s="150">
        <v>1</v>
      </c>
      <c r="G1635" s="149" t="s">
        <v>840</v>
      </c>
      <c r="H1635" s="151" t="str">
        <f t="shared" si="129"/>
        <v>1996/04/27</v>
      </c>
      <c r="I1635" s="150" t="s">
        <v>281</v>
      </c>
      <c r="J1635" s="150" t="s">
        <v>4844</v>
      </c>
      <c r="K1635" s="101" t="str">
        <f t="shared" si="130"/>
        <v>96</v>
      </c>
      <c r="L1635" s="101" t="str">
        <f t="shared" si="131"/>
        <v>04</v>
      </c>
      <c r="M1635" s="101" t="str">
        <f t="shared" si="132"/>
        <v>27</v>
      </c>
    </row>
    <row r="1636" spans="1:13">
      <c r="A1636" t="str">
        <f t="shared" si="128"/>
        <v>徳山大学3309女</v>
      </c>
      <c r="B1636" s="150" t="s">
        <v>1250</v>
      </c>
      <c r="C1636" s="150">
        <v>3309</v>
      </c>
      <c r="D1636" s="150" t="s">
        <v>4315</v>
      </c>
      <c r="E1636" s="150" t="s">
        <v>4708</v>
      </c>
      <c r="F1636" s="150">
        <v>1</v>
      </c>
      <c r="G1636" s="149" t="s">
        <v>840</v>
      </c>
      <c r="H1636" s="151" t="str">
        <f t="shared" si="129"/>
        <v>1996/12/07</v>
      </c>
      <c r="I1636" s="150" t="s">
        <v>304</v>
      </c>
      <c r="J1636" s="150" t="s">
        <v>650</v>
      </c>
      <c r="K1636" s="101" t="str">
        <f t="shared" si="130"/>
        <v>96</v>
      </c>
      <c r="L1636" s="101" t="str">
        <f t="shared" si="131"/>
        <v>12</v>
      </c>
      <c r="M1636" s="101" t="str">
        <f t="shared" si="132"/>
        <v>07</v>
      </c>
    </row>
    <row r="1637" spans="1:13">
      <c r="A1637" t="str">
        <f t="shared" si="128"/>
        <v>徳山大学3310女</v>
      </c>
      <c r="B1637" s="150" t="s">
        <v>1250</v>
      </c>
      <c r="C1637" s="150">
        <v>3310</v>
      </c>
      <c r="D1637" s="150" t="s">
        <v>4316</v>
      </c>
      <c r="E1637" s="150" t="s">
        <v>4709</v>
      </c>
      <c r="F1637" s="150">
        <v>1</v>
      </c>
      <c r="G1637" s="149" t="s">
        <v>840</v>
      </c>
      <c r="H1637" s="151" t="str">
        <f t="shared" si="129"/>
        <v>1996/08/01</v>
      </c>
      <c r="I1637" s="150" t="s">
        <v>269</v>
      </c>
      <c r="J1637" s="150" t="s">
        <v>3948</v>
      </c>
      <c r="K1637" s="101" t="str">
        <f t="shared" si="130"/>
        <v>96</v>
      </c>
      <c r="L1637" s="101" t="str">
        <f t="shared" si="131"/>
        <v>08</v>
      </c>
      <c r="M1637" s="101" t="str">
        <f t="shared" si="132"/>
        <v>01</v>
      </c>
    </row>
    <row r="1638" spans="1:13">
      <c r="A1638" t="str">
        <f t="shared" si="128"/>
        <v>徳山大学3311女</v>
      </c>
      <c r="B1638" s="150" t="s">
        <v>1250</v>
      </c>
      <c r="C1638" s="150">
        <v>3311</v>
      </c>
      <c r="D1638" s="150" t="s">
        <v>4317</v>
      </c>
      <c r="E1638" s="150" t="s">
        <v>4710</v>
      </c>
      <c r="F1638" s="150">
        <v>1</v>
      </c>
      <c r="G1638" s="149" t="s">
        <v>840</v>
      </c>
      <c r="H1638" s="151" t="str">
        <f t="shared" si="129"/>
        <v>1996/07/13</v>
      </c>
      <c r="I1638" s="150" t="s">
        <v>5</v>
      </c>
      <c r="J1638" s="150" t="s">
        <v>647</v>
      </c>
      <c r="K1638" s="101" t="str">
        <f t="shared" si="130"/>
        <v>96</v>
      </c>
      <c r="L1638" s="101" t="str">
        <f t="shared" si="131"/>
        <v>07</v>
      </c>
      <c r="M1638" s="101" t="str">
        <f t="shared" si="132"/>
        <v>13</v>
      </c>
    </row>
    <row r="1639" spans="1:13">
      <c r="A1639" t="str">
        <f t="shared" si="128"/>
        <v>徳山大学3312女</v>
      </c>
      <c r="B1639" s="150" t="s">
        <v>1250</v>
      </c>
      <c r="C1639" s="150">
        <v>3312</v>
      </c>
      <c r="D1639" s="150" t="s">
        <v>4318</v>
      </c>
      <c r="E1639" s="150" t="s">
        <v>4711</v>
      </c>
      <c r="F1639" s="150">
        <v>1</v>
      </c>
      <c r="G1639" s="149" t="s">
        <v>840</v>
      </c>
      <c r="H1639" s="151" t="str">
        <f t="shared" si="129"/>
        <v>1996/11/10</v>
      </c>
      <c r="I1639" s="150" t="s">
        <v>281</v>
      </c>
      <c r="J1639" s="150" t="s">
        <v>706</v>
      </c>
      <c r="K1639" s="101" t="str">
        <f t="shared" si="130"/>
        <v>96</v>
      </c>
      <c r="L1639" s="101" t="str">
        <f t="shared" si="131"/>
        <v>11</v>
      </c>
      <c r="M1639" s="101" t="str">
        <f t="shared" si="132"/>
        <v>10</v>
      </c>
    </row>
    <row r="1640" spans="1:13">
      <c r="A1640" t="str">
        <f t="shared" si="128"/>
        <v>徳山大学3313女</v>
      </c>
      <c r="B1640" s="150" t="s">
        <v>1250</v>
      </c>
      <c r="C1640" s="150">
        <v>3313</v>
      </c>
      <c r="D1640" s="150" t="s">
        <v>4319</v>
      </c>
      <c r="E1640" s="150" t="s">
        <v>4712</v>
      </c>
      <c r="F1640" s="150">
        <v>1</v>
      </c>
      <c r="G1640" s="149" t="s">
        <v>840</v>
      </c>
      <c r="H1640" s="151" t="str">
        <f t="shared" si="129"/>
        <v>1997/02/23</v>
      </c>
      <c r="I1640" s="150" t="s">
        <v>281</v>
      </c>
      <c r="J1640" s="150" t="s">
        <v>4845</v>
      </c>
      <c r="K1640" s="101" t="str">
        <f t="shared" si="130"/>
        <v>97</v>
      </c>
      <c r="L1640" s="101" t="str">
        <f t="shared" si="131"/>
        <v>02</v>
      </c>
      <c r="M1640" s="101" t="str">
        <f t="shared" si="132"/>
        <v>23</v>
      </c>
    </row>
    <row r="1641" spans="1:13">
      <c r="A1641" t="str">
        <f t="shared" si="128"/>
        <v>徳山大学3314女</v>
      </c>
      <c r="B1641" s="150" t="s">
        <v>1250</v>
      </c>
      <c r="C1641" s="150">
        <v>3314</v>
      </c>
      <c r="D1641" s="150" t="s">
        <v>4320</v>
      </c>
      <c r="E1641" s="150" t="s">
        <v>4713</v>
      </c>
      <c r="F1641" s="150">
        <v>1</v>
      </c>
      <c r="G1641" s="149" t="s">
        <v>840</v>
      </c>
      <c r="H1641" s="151" t="str">
        <f t="shared" si="129"/>
        <v>1997/01/03</v>
      </c>
      <c r="I1641" s="150" t="s">
        <v>295</v>
      </c>
      <c r="J1641" s="150" t="s">
        <v>717</v>
      </c>
      <c r="K1641" s="101" t="str">
        <f t="shared" si="130"/>
        <v>97</v>
      </c>
      <c r="L1641" s="101" t="str">
        <f t="shared" si="131"/>
        <v>01</v>
      </c>
      <c r="M1641" s="101" t="str">
        <f t="shared" si="132"/>
        <v>03</v>
      </c>
    </row>
    <row r="1642" spans="1:13">
      <c r="A1642" t="str">
        <f t="shared" si="128"/>
        <v>徳山大学3315女</v>
      </c>
      <c r="B1642" s="150" t="s">
        <v>1250</v>
      </c>
      <c r="C1642" s="150">
        <v>3315</v>
      </c>
      <c r="D1642" s="150" t="s">
        <v>4321</v>
      </c>
      <c r="E1642" s="150" t="s">
        <v>4714</v>
      </c>
      <c r="F1642" s="150">
        <v>1</v>
      </c>
      <c r="G1642" s="149" t="s">
        <v>840</v>
      </c>
      <c r="H1642" s="151" t="str">
        <f t="shared" si="129"/>
        <v>1996/05/13</v>
      </c>
      <c r="I1642" s="150" t="s">
        <v>303</v>
      </c>
      <c r="J1642" s="150" t="s">
        <v>758</v>
      </c>
      <c r="K1642" s="101" t="str">
        <f t="shared" si="130"/>
        <v>96</v>
      </c>
      <c r="L1642" s="101" t="str">
        <f t="shared" si="131"/>
        <v>05</v>
      </c>
      <c r="M1642" s="101" t="str">
        <f t="shared" si="132"/>
        <v>13</v>
      </c>
    </row>
    <row r="1643" spans="1:13">
      <c r="A1643" t="str">
        <f t="shared" si="128"/>
        <v>徳山大学3316女</v>
      </c>
      <c r="B1643" s="150" t="s">
        <v>1250</v>
      </c>
      <c r="C1643" s="150">
        <v>3316</v>
      </c>
      <c r="D1643" s="150" t="s">
        <v>4322</v>
      </c>
      <c r="E1643" s="150" t="s">
        <v>4715</v>
      </c>
      <c r="F1643" s="150">
        <v>1</v>
      </c>
      <c r="G1643" s="149" t="s">
        <v>840</v>
      </c>
      <c r="H1643" s="151" t="str">
        <f t="shared" si="129"/>
        <v>1996/11/01</v>
      </c>
      <c r="I1643" s="150" t="s">
        <v>5</v>
      </c>
      <c r="J1643" s="150" t="s">
        <v>3992</v>
      </c>
      <c r="K1643" s="101" t="str">
        <f t="shared" si="130"/>
        <v>96</v>
      </c>
      <c r="L1643" s="101" t="str">
        <f t="shared" si="131"/>
        <v>11</v>
      </c>
      <c r="M1643" s="101" t="str">
        <f t="shared" si="132"/>
        <v>01</v>
      </c>
    </row>
    <row r="1644" spans="1:13">
      <c r="A1644" t="str">
        <f t="shared" si="128"/>
        <v>徳山大学3317女</v>
      </c>
      <c r="B1644" s="150" t="s">
        <v>1250</v>
      </c>
      <c r="C1644" s="150">
        <v>3317</v>
      </c>
      <c r="D1644" s="150" t="s">
        <v>4323</v>
      </c>
      <c r="E1644" s="150" t="s">
        <v>4716</v>
      </c>
      <c r="F1644" s="150">
        <v>1</v>
      </c>
      <c r="G1644" s="149" t="s">
        <v>840</v>
      </c>
      <c r="H1644" s="151" t="str">
        <f t="shared" si="129"/>
        <v>1996/05/15</v>
      </c>
      <c r="I1644" s="150" t="s">
        <v>290</v>
      </c>
      <c r="J1644" s="150" t="s">
        <v>859</v>
      </c>
      <c r="K1644" s="101" t="str">
        <f t="shared" si="130"/>
        <v>96</v>
      </c>
      <c r="L1644" s="101" t="str">
        <f t="shared" si="131"/>
        <v>05</v>
      </c>
      <c r="M1644" s="101" t="str">
        <f t="shared" si="132"/>
        <v>15</v>
      </c>
    </row>
    <row r="1645" spans="1:13">
      <c r="A1645" t="str">
        <f t="shared" si="128"/>
        <v>徳山大学3318女</v>
      </c>
      <c r="B1645" s="150" t="s">
        <v>1250</v>
      </c>
      <c r="C1645" s="150">
        <v>3318</v>
      </c>
      <c r="D1645" s="150" t="s">
        <v>4324</v>
      </c>
      <c r="E1645" s="150" t="s">
        <v>4717</v>
      </c>
      <c r="F1645" s="150">
        <v>1</v>
      </c>
      <c r="G1645" s="149" t="s">
        <v>840</v>
      </c>
      <c r="H1645" s="151" t="str">
        <f t="shared" si="129"/>
        <v>1996/12/06</v>
      </c>
      <c r="I1645" s="150" t="s">
        <v>281</v>
      </c>
      <c r="J1645" s="150" t="s">
        <v>4846</v>
      </c>
      <c r="K1645" s="101" t="str">
        <f t="shared" si="130"/>
        <v>96</v>
      </c>
      <c r="L1645" s="101" t="str">
        <f t="shared" si="131"/>
        <v>12</v>
      </c>
      <c r="M1645" s="101" t="str">
        <f t="shared" si="132"/>
        <v>06</v>
      </c>
    </row>
    <row r="1646" spans="1:13">
      <c r="A1646" t="str">
        <f t="shared" si="128"/>
        <v>東亜大学3319女</v>
      </c>
      <c r="B1646" s="150" t="s">
        <v>2991</v>
      </c>
      <c r="C1646" s="150">
        <v>3319</v>
      </c>
      <c r="D1646" s="150" t="s">
        <v>4325</v>
      </c>
      <c r="E1646" s="150" t="s">
        <v>4718</v>
      </c>
      <c r="F1646" s="150" t="s">
        <v>280</v>
      </c>
      <c r="G1646" s="149" t="s">
        <v>840</v>
      </c>
      <c r="H1646" s="151" t="str">
        <f t="shared" si="129"/>
        <v>1996/10/20</v>
      </c>
      <c r="I1646" s="150" t="s">
        <v>261</v>
      </c>
      <c r="J1646" s="150" t="s">
        <v>754</v>
      </c>
      <c r="K1646" s="101" t="str">
        <f t="shared" si="130"/>
        <v>96</v>
      </c>
      <c r="L1646" s="101" t="str">
        <f t="shared" si="131"/>
        <v>10</v>
      </c>
      <c r="M1646" s="101" t="str">
        <f t="shared" si="132"/>
        <v>20</v>
      </c>
    </row>
    <row r="1647" spans="1:13">
      <c r="A1647" t="str">
        <f t="shared" si="128"/>
        <v>東亜大学3320女</v>
      </c>
      <c r="B1647" s="150" t="s">
        <v>2991</v>
      </c>
      <c r="C1647" s="150">
        <v>3320</v>
      </c>
      <c r="D1647" s="150" t="s">
        <v>4326</v>
      </c>
      <c r="E1647" s="150" t="s">
        <v>4719</v>
      </c>
      <c r="F1647" s="150" t="s">
        <v>280</v>
      </c>
      <c r="G1647" s="149" t="s">
        <v>840</v>
      </c>
      <c r="H1647" s="151" t="str">
        <f t="shared" si="129"/>
        <v>1997/01/28</v>
      </c>
      <c r="I1647" s="150" t="s">
        <v>269</v>
      </c>
      <c r="J1647" s="150" t="s">
        <v>3965</v>
      </c>
      <c r="K1647" s="101" t="str">
        <f t="shared" si="130"/>
        <v>97</v>
      </c>
      <c r="L1647" s="101" t="str">
        <f t="shared" si="131"/>
        <v>01</v>
      </c>
      <c r="M1647" s="101" t="str">
        <f t="shared" si="132"/>
        <v>28</v>
      </c>
    </row>
    <row r="1648" spans="1:13">
      <c r="A1648" t="str">
        <f t="shared" si="128"/>
        <v>広島大学3321女</v>
      </c>
      <c r="B1648" s="150" t="s">
        <v>1364</v>
      </c>
      <c r="C1648" s="150">
        <v>3321</v>
      </c>
      <c r="D1648" s="150" t="s">
        <v>4327</v>
      </c>
      <c r="E1648" s="150" t="s">
        <v>4720</v>
      </c>
      <c r="F1648" s="150" t="s">
        <v>265</v>
      </c>
      <c r="G1648" s="149" t="s">
        <v>840</v>
      </c>
      <c r="H1648" s="151" t="str">
        <f t="shared" si="129"/>
        <v>1990/06/25</v>
      </c>
      <c r="I1648" s="150" t="s">
        <v>304</v>
      </c>
      <c r="J1648" s="150" t="s">
        <v>4847</v>
      </c>
      <c r="K1648" s="101" t="str">
        <f t="shared" si="130"/>
        <v>90</v>
      </c>
      <c r="L1648" s="101" t="str">
        <f t="shared" si="131"/>
        <v>06</v>
      </c>
      <c r="M1648" s="101" t="str">
        <f t="shared" si="132"/>
        <v>25</v>
      </c>
    </row>
    <row r="1649" spans="1:13">
      <c r="A1649" t="str">
        <f t="shared" si="128"/>
        <v>広島経済大学3322女</v>
      </c>
      <c r="B1649" s="150" t="s">
        <v>1600</v>
      </c>
      <c r="C1649" s="150">
        <v>3322</v>
      </c>
      <c r="D1649" s="150" t="s">
        <v>4328</v>
      </c>
      <c r="E1649" s="150" t="s">
        <v>4721</v>
      </c>
      <c r="F1649" s="150" t="s">
        <v>280</v>
      </c>
      <c r="G1649" s="149" t="s">
        <v>840</v>
      </c>
      <c r="H1649" s="151" t="str">
        <f t="shared" si="129"/>
        <v>1996/04/07</v>
      </c>
      <c r="I1649" s="150" t="s">
        <v>295</v>
      </c>
      <c r="J1649" s="150" t="s">
        <v>3968</v>
      </c>
      <c r="K1649" s="101" t="str">
        <f t="shared" si="130"/>
        <v>96</v>
      </c>
      <c r="L1649" s="101" t="str">
        <f t="shared" si="131"/>
        <v>04</v>
      </c>
      <c r="M1649" s="101" t="str">
        <f t="shared" si="132"/>
        <v>07</v>
      </c>
    </row>
    <row r="1650" spans="1:13">
      <c r="A1650" t="str">
        <f t="shared" si="128"/>
        <v>広島経済大学3323女</v>
      </c>
      <c r="B1650" s="150" t="s">
        <v>1600</v>
      </c>
      <c r="C1650" s="150">
        <v>3323</v>
      </c>
      <c r="D1650" s="150" t="s">
        <v>4329</v>
      </c>
      <c r="E1650" s="150" t="s">
        <v>4722</v>
      </c>
      <c r="F1650" s="150" t="s">
        <v>280</v>
      </c>
      <c r="G1650" s="149" t="s">
        <v>840</v>
      </c>
      <c r="H1650" s="151" t="str">
        <f t="shared" si="129"/>
        <v>1996/08/28</v>
      </c>
      <c r="I1650" s="150" t="s">
        <v>295</v>
      </c>
      <c r="J1650" s="150" t="s">
        <v>821</v>
      </c>
      <c r="K1650" s="101" t="str">
        <f t="shared" si="130"/>
        <v>96</v>
      </c>
      <c r="L1650" s="101" t="str">
        <f t="shared" si="131"/>
        <v>08</v>
      </c>
      <c r="M1650" s="101" t="str">
        <f t="shared" si="132"/>
        <v>28</v>
      </c>
    </row>
    <row r="1651" spans="1:13">
      <c r="A1651" t="str">
        <f t="shared" si="128"/>
        <v>広島経済大学3324女</v>
      </c>
      <c r="B1651" s="150" t="s">
        <v>1600</v>
      </c>
      <c r="C1651" s="150">
        <v>3324</v>
      </c>
      <c r="D1651" s="150" t="s">
        <v>4330</v>
      </c>
      <c r="E1651" s="150" t="s">
        <v>4723</v>
      </c>
      <c r="F1651" s="150" t="s">
        <v>280</v>
      </c>
      <c r="G1651" s="149" t="s">
        <v>840</v>
      </c>
      <c r="H1651" s="151" t="str">
        <f t="shared" si="129"/>
        <v>1996/05/29</v>
      </c>
      <c r="I1651" s="150" t="s">
        <v>295</v>
      </c>
      <c r="J1651" s="150" t="s">
        <v>920</v>
      </c>
      <c r="K1651" s="101" t="str">
        <f t="shared" si="130"/>
        <v>96</v>
      </c>
      <c r="L1651" s="101" t="str">
        <f t="shared" si="131"/>
        <v>05</v>
      </c>
      <c r="M1651" s="101" t="str">
        <f t="shared" si="132"/>
        <v>29</v>
      </c>
    </row>
    <row r="1652" spans="1:13">
      <c r="A1652" t="str">
        <f t="shared" si="128"/>
        <v>四国大学3325女</v>
      </c>
      <c r="B1652" s="150" t="s">
        <v>1995</v>
      </c>
      <c r="C1652" s="150">
        <v>3325</v>
      </c>
      <c r="D1652" s="150" t="s">
        <v>4331</v>
      </c>
      <c r="E1652" s="150" t="s">
        <v>4724</v>
      </c>
      <c r="F1652" s="150" t="s">
        <v>280</v>
      </c>
      <c r="G1652" s="149" t="s">
        <v>840</v>
      </c>
      <c r="H1652" s="151" t="str">
        <f t="shared" si="129"/>
        <v>1996/12/21</v>
      </c>
      <c r="I1652" s="150" t="s">
        <v>276</v>
      </c>
      <c r="J1652" s="150" t="s">
        <v>3929</v>
      </c>
      <c r="K1652" s="101" t="str">
        <f t="shared" si="130"/>
        <v>96</v>
      </c>
      <c r="L1652" s="101" t="str">
        <f t="shared" si="131"/>
        <v>12</v>
      </c>
      <c r="M1652" s="101" t="str">
        <f t="shared" si="132"/>
        <v>21</v>
      </c>
    </row>
    <row r="1653" spans="1:13">
      <c r="A1653" t="str">
        <f t="shared" si="128"/>
        <v>ノートルダム清心女子大学3326女</v>
      </c>
      <c r="B1653" s="150" t="s">
        <v>4006</v>
      </c>
      <c r="C1653" s="150">
        <v>3326</v>
      </c>
      <c r="D1653" s="150" t="s">
        <v>4332</v>
      </c>
      <c r="E1653" s="150" t="s">
        <v>4725</v>
      </c>
      <c r="F1653" s="150" t="s">
        <v>280</v>
      </c>
      <c r="G1653" s="149" t="s">
        <v>840</v>
      </c>
      <c r="H1653" s="151" t="str">
        <f t="shared" si="129"/>
        <v>1996/09/23</v>
      </c>
      <c r="I1653" s="150" t="s">
        <v>289</v>
      </c>
      <c r="J1653" s="150" t="s">
        <v>916</v>
      </c>
      <c r="K1653" s="101" t="str">
        <f t="shared" si="130"/>
        <v>96</v>
      </c>
      <c r="L1653" s="101" t="str">
        <f t="shared" si="131"/>
        <v>09</v>
      </c>
      <c r="M1653" s="101" t="str">
        <f t="shared" si="132"/>
        <v>23</v>
      </c>
    </row>
    <row r="1654" spans="1:13">
      <c r="A1654" t="str">
        <f t="shared" si="128"/>
        <v>ノートルダム清心女子大学3327女</v>
      </c>
      <c r="B1654" s="150" t="s">
        <v>4006</v>
      </c>
      <c r="C1654" s="150">
        <v>3327</v>
      </c>
      <c r="D1654" s="150" t="s">
        <v>4333</v>
      </c>
      <c r="E1654" s="150" t="s">
        <v>4726</v>
      </c>
      <c r="F1654" s="150" t="s">
        <v>280</v>
      </c>
      <c r="G1654" s="149" t="s">
        <v>840</v>
      </c>
      <c r="H1654" s="151" t="str">
        <f t="shared" si="129"/>
        <v>1997/02/21</v>
      </c>
      <c r="I1654" s="150" t="s">
        <v>299</v>
      </c>
      <c r="J1654" s="150" t="s">
        <v>727</v>
      </c>
      <c r="K1654" s="101" t="str">
        <f t="shared" si="130"/>
        <v>97</v>
      </c>
      <c r="L1654" s="101" t="str">
        <f t="shared" si="131"/>
        <v>02</v>
      </c>
      <c r="M1654" s="101" t="str">
        <f t="shared" si="132"/>
        <v>21</v>
      </c>
    </row>
    <row r="1655" spans="1:13">
      <c r="A1655" t="str">
        <f t="shared" si="128"/>
        <v>倉敷芸術科学大学3328女</v>
      </c>
      <c r="B1655" s="150" t="s">
        <v>1119</v>
      </c>
      <c r="C1655" s="150">
        <v>3328</v>
      </c>
      <c r="D1655" s="150" t="s">
        <v>4334</v>
      </c>
      <c r="E1655" s="150" t="s">
        <v>4727</v>
      </c>
      <c r="F1655" s="150" t="s">
        <v>260</v>
      </c>
      <c r="G1655" s="149" t="s">
        <v>840</v>
      </c>
      <c r="H1655" s="151" t="str">
        <f t="shared" si="129"/>
        <v>1993/07/13</v>
      </c>
      <c r="I1655" s="150" t="s">
        <v>299</v>
      </c>
      <c r="J1655" s="150" t="s">
        <v>4848</v>
      </c>
      <c r="K1655" s="101" t="str">
        <f t="shared" si="130"/>
        <v>93</v>
      </c>
      <c r="L1655" s="101" t="str">
        <f t="shared" si="131"/>
        <v>07</v>
      </c>
      <c r="M1655" s="101" t="str">
        <f t="shared" si="132"/>
        <v>13</v>
      </c>
    </row>
    <row r="1656" spans="1:13">
      <c r="A1656" t="str">
        <f t="shared" si="128"/>
        <v>吉備国際大学3329女</v>
      </c>
      <c r="B1656" s="150" t="s">
        <v>2017</v>
      </c>
      <c r="C1656" s="150">
        <v>3329</v>
      </c>
      <c r="D1656" s="150" t="s">
        <v>4335</v>
      </c>
      <c r="E1656" s="150" t="s">
        <v>4728</v>
      </c>
      <c r="F1656" s="150" t="s">
        <v>280</v>
      </c>
      <c r="G1656" s="149" t="s">
        <v>840</v>
      </c>
      <c r="H1656" s="151" t="str">
        <f t="shared" si="129"/>
        <v>1996/05/01</v>
      </c>
      <c r="I1656" s="150" t="s">
        <v>299</v>
      </c>
      <c r="J1656" s="150" t="s">
        <v>834</v>
      </c>
      <c r="K1656" s="101" t="str">
        <f t="shared" si="130"/>
        <v>96</v>
      </c>
      <c r="L1656" s="101" t="str">
        <f t="shared" si="131"/>
        <v>05</v>
      </c>
      <c r="M1656" s="101" t="str">
        <f t="shared" si="132"/>
        <v>01</v>
      </c>
    </row>
    <row r="1657" spans="1:13">
      <c r="A1657" t="str">
        <f t="shared" si="128"/>
        <v>川崎医療福祉大学3330女</v>
      </c>
      <c r="B1657" s="150" t="s">
        <v>2176</v>
      </c>
      <c r="C1657" s="150">
        <v>3330</v>
      </c>
      <c r="D1657" s="150" t="s">
        <v>4336</v>
      </c>
      <c r="E1657" s="150" t="s">
        <v>4729</v>
      </c>
      <c r="F1657" s="150" t="s">
        <v>280</v>
      </c>
      <c r="G1657" s="149" t="s">
        <v>840</v>
      </c>
      <c r="H1657" s="151" t="str">
        <f t="shared" si="129"/>
        <v>1996/08/27</v>
      </c>
      <c r="I1657" s="150" t="s">
        <v>295</v>
      </c>
      <c r="J1657" s="150" t="s">
        <v>739</v>
      </c>
      <c r="K1657" s="101" t="str">
        <f t="shared" si="130"/>
        <v>96</v>
      </c>
      <c r="L1657" s="101" t="str">
        <f t="shared" si="131"/>
        <v>08</v>
      </c>
      <c r="M1657" s="101" t="str">
        <f t="shared" si="132"/>
        <v>27</v>
      </c>
    </row>
    <row r="1658" spans="1:13">
      <c r="A1658" t="str">
        <f t="shared" si="128"/>
        <v>川崎医療福祉大学3331女</v>
      </c>
      <c r="B1658" s="150" t="s">
        <v>2176</v>
      </c>
      <c r="C1658" s="150">
        <v>3331</v>
      </c>
      <c r="D1658" s="150" t="s">
        <v>4337</v>
      </c>
      <c r="E1658" s="150" t="s">
        <v>4730</v>
      </c>
      <c r="F1658" s="150" t="s">
        <v>280</v>
      </c>
      <c r="G1658" s="149" t="s">
        <v>840</v>
      </c>
      <c r="H1658" s="151" t="str">
        <f t="shared" si="129"/>
        <v>1996/09/19</v>
      </c>
      <c r="I1658" s="150" t="s">
        <v>301</v>
      </c>
      <c r="J1658" s="150" t="s">
        <v>415</v>
      </c>
      <c r="K1658" s="101" t="str">
        <f t="shared" si="130"/>
        <v>96</v>
      </c>
      <c r="L1658" s="101" t="str">
        <f t="shared" si="131"/>
        <v>09</v>
      </c>
      <c r="M1658" s="101" t="str">
        <f t="shared" si="132"/>
        <v>19</v>
      </c>
    </row>
    <row r="1659" spans="1:13">
      <c r="A1659" t="str">
        <f t="shared" si="128"/>
        <v>川崎医療福祉大学3332女</v>
      </c>
      <c r="B1659" s="150" t="s">
        <v>2176</v>
      </c>
      <c r="C1659" s="150">
        <v>3332</v>
      </c>
      <c r="D1659" s="150" t="s">
        <v>4338</v>
      </c>
      <c r="E1659" s="150" t="s">
        <v>4731</v>
      </c>
      <c r="F1659" s="150" t="s">
        <v>280</v>
      </c>
      <c r="G1659" s="149" t="s">
        <v>840</v>
      </c>
      <c r="H1659" s="151" t="str">
        <f t="shared" si="129"/>
        <v>1997/03/24</v>
      </c>
      <c r="I1659" s="150" t="s">
        <v>299</v>
      </c>
      <c r="J1659" s="150" t="s">
        <v>3943</v>
      </c>
      <c r="K1659" s="101" t="str">
        <f t="shared" si="130"/>
        <v>97</v>
      </c>
      <c r="L1659" s="101" t="str">
        <f t="shared" si="131"/>
        <v>03</v>
      </c>
      <c r="M1659" s="101" t="str">
        <f t="shared" si="132"/>
        <v>24</v>
      </c>
    </row>
    <row r="1660" spans="1:13">
      <c r="A1660" t="str">
        <f t="shared" si="128"/>
        <v>川崎医療福祉大学3333女</v>
      </c>
      <c r="B1660" s="150" t="s">
        <v>2176</v>
      </c>
      <c r="C1660" s="150">
        <v>3333</v>
      </c>
      <c r="D1660" s="150" t="s">
        <v>4339</v>
      </c>
      <c r="E1660" s="150" t="s">
        <v>4732</v>
      </c>
      <c r="F1660" s="150" t="s">
        <v>280</v>
      </c>
      <c r="G1660" s="149" t="s">
        <v>840</v>
      </c>
      <c r="H1660" s="151" t="str">
        <f t="shared" si="129"/>
        <v>1996/05/29</v>
      </c>
      <c r="I1660" s="150" t="s">
        <v>289</v>
      </c>
      <c r="J1660" s="150" t="s">
        <v>920</v>
      </c>
      <c r="K1660" s="101" t="str">
        <f t="shared" si="130"/>
        <v>96</v>
      </c>
      <c r="L1660" s="101" t="str">
        <f t="shared" si="131"/>
        <v>05</v>
      </c>
      <c r="M1660" s="101" t="str">
        <f t="shared" si="132"/>
        <v>29</v>
      </c>
    </row>
    <row r="1661" spans="1:13">
      <c r="A1661" t="str">
        <f t="shared" si="128"/>
        <v>徳島大学3334女</v>
      </c>
      <c r="B1661" s="150" t="s">
        <v>2345</v>
      </c>
      <c r="C1661" s="150">
        <v>3334</v>
      </c>
      <c r="D1661" s="150" t="s">
        <v>4340</v>
      </c>
      <c r="E1661" s="150" t="s">
        <v>4733</v>
      </c>
      <c r="F1661" s="150" t="s">
        <v>267</v>
      </c>
      <c r="G1661" s="149" t="s">
        <v>840</v>
      </c>
      <c r="H1661" s="151" t="str">
        <f t="shared" si="129"/>
        <v>1995/11/25</v>
      </c>
      <c r="I1661" s="150" t="s">
        <v>276</v>
      </c>
      <c r="J1661" s="150" t="s">
        <v>433</v>
      </c>
      <c r="K1661" s="101" t="str">
        <f t="shared" si="130"/>
        <v>95</v>
      </c>
      <c r="L1661" s="101" t="str">
        <f t="shared" si="131"/>
        <v>11</v>
      </c>
      <c r="M1661" s="101" t="str">
        <f t="shared" si="132"/>
        <v>25</v>
      </c>
    </row>
    <row r="1662" spans="1:13">
      <c r="A1662" t="str">
        <f t="shared" si="128"/>
        <v>徳島大学3335女</v>
      </c>
      <c r="B1662" s="150" t="s">
        <v>2345</v>
      </c>
      <c r="C1662" s="150">
        <v>3335</v>
      </c>
      <c r="D1662" s="150" t="s">
        <v>4341</v>
      </c>
      <c r="E1662" s="150" t="s">
        <v>4734</v>
      </c>
      <c r="F1662" s="150" t="s">
        <v>280</v>
      </c>
      <c r="G1662" s="149" t="s">
        <v>840</v>
      </c>
      <c r="H1662" s="151" t="str">
        <f t="shared" si="129"/>
        <v>1996/09/12</v>
      </c>
      <c r="I1662" s="150" t="s">
        <v>276</v>
      </c>
      <c r="J1662" s="150" t="s">
        <v>939</v>
      </c>
      <c r="K1662" s="101" t="str">
        <f t="shared" si="130"/>
        <v>96</v>
      </c>
      <c r="L1662" s="101" t="str">
        <f t="shared" si="131"/>
        <v>09</v>
      </c>
      <c r="M1662" s="101" t="str">
        <f t="shared" si="132"/>
        <v>12</v>
      </c>
    </row>
    <row r="1663" spans="1:13">
      <c r="A1663" t="str">
        <f t="shared" si="128"/>
        <v>美作大学3336女</v>
      </c>
      <c r="B1663" s="150" t="s">
        <v>1727</v>
      </c>
      <c r="C1663" s="150">
        <v>3336</v>
      </c>
      <c r="D1663" s="150" t="s">
        <v>4342</v>
      </c>
      <c r="E1663" s="150" t="s">
        <v>4735</v>
      </c>
      <c r="F1663" s="150" t="s">
        <v>280</v>
      </c>
      <c r="G1663" s="149" t="s">
        <v>840</v>
      </c>
      <c r="H1663" s="151" t="str">
        <f t="shared" si="129"/>
        <v>1996/12/09</v>
      </c>
      <c r="I1663" s="150" t="s">
        <v>281</v>
      </c>
      <c r="J1663" s="150" t="s">
        <v>804</v>
      </c>
      <c r="K1663" s="101" t="str">
        <f t="shared" si="130"/>
        <v>96</v>
      </c>
      <c r="L1663" s="101" t="str">
        <f t="shared" si="131"/>
        <v>12</v>
      </c>
      <c r="M1663" s="101" t="str">
        <f t="shared" si="132"/>
        <v>09</v>
      </c>
    </row>
    <row r="1664" spans="1:13">
      <c r="A1664" t="str">
        <f t="shared" si="128"/>
        <v>環太平洋大学3337女</v>
      </c>
      <c r="B1664" s="150" t="s">
        <v>2618</v>
      </c>
      <c r="C1664" s="150">
        <v>3337</v>
      </c>
      <c r="D1664" s="150" t="s">
        <v>4343</v>
      </c>
      <c r="E1664" s="150" t="s">
        <v>4736</v>
      </c>
      <c r="F1664" s="150" t="s">
        <v>280</v>
      </c>
      <c r="G1664" s="149" t="s">
        <v>840</v>
      </c>
      <c r="H1664" s="151" t="str">
        <f t="shared" si="129"/>
        <v>1996/07/20</v>
      </c>
      <c r="I1664" s="150" t="s">
        <v>277</v>
      </c>
      <c r="J1664" s="150" t="s">
        <v>4849</v>
      </c>
      <c r="K1664" s="101" t="str">
        <f t="shared" si="130"/>
        <v>96</v>
      </c>
      <c r="L1664" s="101" t="str">
        <f t="shared" si="131"/>
        <v>07</v>
      </c>
      <c r="M1664" s="101" t="str">
        <f t="shared" si="132"/>
        <v>20</v>
      </c>
    </row>
    <row r="1665" spans="1:13">
      <c r="A1665" t="str">
        <f t="shared" si="128"/>
        <v>環太平洋大学3338女</v>
      </c>
      <c r="B1665" s="150" t="s">
        <v>2618</v>
      </c>
      <c r="C1665" s="150">
        <v>3338</v>
      </c>
      <c r="D1665" s="150" t="s">
        <v>4344</v>
      </c>
      <c r="E1665" s="150" t="s">
        <v>4737</v>
      </c>
      <c r="F1665" s="150" t="s">
        <v>280</v>
      </c>
      <c r="G1665" s="149" t="s">
        <v>840</v>
      </c>
      <c r="H1665" s="151" t="str">
        <f t="shared" si="129"/>
        <v>1997/03/01</v>
      </c>
      <c r="I1665" s="150" t="s">
        <v>290</v>
      </c>
      <c r="J1665" s="150" t="s">
        <v>936</v>
      </c>
      <c r="K1665" s="101" t="str">
        <f t="shared" si="130"/>
        <v>97</v>
      </c>
      <c r="L1665" s="101" t="str">
        <f t="shared" si="131"/>
        <v>03</v>
      </c>
      <c r="M1665" s="101" t="str">
        <f t="shared" si="132"/>
        <v>01</v>
      </c>
    </row>
    <row r="1666" spans="1:13">
      <c r="A1666" t="str">
        <f t="shared" ref="A1666:A1729" si="133">B1666&amp;C1666&amp;G1666</f>
        <v>環太平洋大学3339女</v>
      </c>
      <c r="B1666" s="150" t="s">
        <v>2618</v>
      </c>
      <c r="C1666" s="150">
        <v>3339</v>
      </c>
      <c r="D1666" s="150" t="s">
        <v>4345</v>
      </c>
      <c r="E1666" s="150" t="s">
        <v>4738</v>
      </c>
      <c r="F1666" s="150" t="s">
        <v>280</v>
      </c>
      <c r="G1666" s="149" t="s">
        <v>840</v>
      </c>
      <c r="H1666" s="151" t="str">
        <f t="shared" si="129"/>
        <v>1996/11/04</v>
      </c>
      <c r="I1666" s="150" t="s">
        <v>288</v>
      </c>
      <c r="J1666" s="150" t="s">
        <v>822</v>
      </c>
      <c r="K1666" s="101" t="str">
        <f t="shared" si="130"/>
        <v>96</v>
      </c>
      <c r="L1666" s="101" t="str">
        <f t="shared" si="131"/>
        <v>11</v>
      </c>
      <c r="M1666" s="101" t="str">
        <f t="shared" si="132"/>
        <v>04</v>
      </c>
    </row>
    <row r="1667" spans="1:13">
      <c r="A1667" t="str">
        <f t="shared" si="133"/>
        <v>環太平洋大学3340女</v>
      </c>
      <c r="B1667" s="150" t="s">
        <v>2618</v>
      </c>
      <c r="C1667" s="150">
        <v>3340</v>
      </c>
      <c r="D1667" s="150" t="s">
        <v>4346</v>
      </c>
      <c r="E1667" s="150" t="s">
        <v>4739</v>
      </c>
      <c r="F1667" s="150" t="s">
        <v>280</v>
      </c>
      <c r="G1667" s="149" t="s">
        <v>840</v>
      </c>
      <c r="H1667" s="151" t="str">
        <f t="shared" ref="H1667:H1726" si="134">"19"&amp;K1667&amp;"/"&amp;L1667&amp;"/"&amp;M1667</f>
        <v>1996/04/03</v>
      </c>
      <c r="I1667" s="150" t="s">
        <v>304</v>
      </c>
      <c r="J1667" s="150" t="s">
        <v>837</v>
      </c>
      <c r="K1667" s="101" t="str">
        <f t="shared" si="130"/>
        <v>96</v>
      </c>
      <c r="L1667" s="101" t="str">
        <f t="shared" si="131"/>
        <v>04</v>
      </c>
      <c r="M1667" s="101" t="str">
        <f t="shared" si="132"/>
        <v>03</v>
      </c>
    </row>
    <row r="1668" spans="1:13">
      <c r="A1668" t="str">
        <f t="shared" si="133"/>
        <v>環太平洋大学3341女</v>
      </c>
      <c r="B1668" s="150" t="s">
        <v>2618</v>
      </c>
      <c r="C1668" s="150">
        <v>3341</v>
      </c>
      <c r="D1668" s="150" t="s">
        <v>4347</v>
      </c>
      <c r="E1668" s="150" t="s">
        <v>4740</v>
      </c>
      <c r="F1668" s="150" t="s">
        <v>280</v>
      </c>
      <c r="G1668" s="149" t="s">
        <v>840</v>
      </c>
      <c r="H1668" s="151" t="str">
        <f t="shared" si="134"/>
        <v>1997/03/22</v>
      </c>
      <c r="I1668" s="150" t="s">
        <v>304</v>
      </c>
      <c r="J1668" s="150" t="s">
        <v>4850</v>
      </c>
      <c r="K1668" s="101" t="str">
        <f t="shared" si="130"/>
        <v>97</v>
      </c>
      <c r="L1668" s="101" t="str">
        <f t="shared" si="131"/>
        <v>03</v>
      </c>
      <c r="M1668" s="101" t="str">
        <f t="shared" si="132"/>
        <v>22</v>
      </c>
    </row>
    <row r="1669" spans="1:13">
      <c r="A1669" t="str">
        <f t="shared" si="133"/>
        <v>環太平洋大学3342女</v>
      </c>
      <c r="B1669" s="150" t="s">
        <v>2618</v>
      </c>
      <c r="C1669" s="150">
        <v>3342</v>
      </c>
      <c r="D1669" s="150" t="s">
        <v>4348</v>
      </c>
      <c r="E1669" s="150" t="s">
        <v>4741</v>
      </c>
      <c r="F1669" s="150" t="s">
        <v>280</v>
      </c>
      <c r="G1669" s="149" t="s">
        <v>840</v>
      </c>
      <c r="H1669" s="151" t="str">
        <f t="shared" si="134"/>
        <v>1996/10/14</v>
      </c>
      <c r="I1669" s="150" t="s">
        <v>304</v>
      </c>
      <c r="J1669" s="150" t="s">
        <v>753</v>
      </c>
      <c r="K1669" s="101" t="str">
        <f t="shared" si="130"/>
        <v>96</v>
      </c>
      <c r="L1669" s="101" t="str">
        <f t="shared" si="131"/>
        <v>10</v>
      </c>
      <c r="M1669" s="101" t="str">
        <f t="shared" si="132"/>
        <v>14</v>
      </c>
    </row>
    <row r="1670" spans="1:13">
      <c r="A1670" t="str">
        <f t="shared" si="133"/>
        <v>環太平洋大学3343女</v>
      </c>
      <c r="B1670" s="150" t="s">
        <v>2618</v>
      </c>
      <c r="C1670" s="150">
        <v>3343</v>
      </c>
      <c r="D1670" s="150" t="s">
        <v>4349</v>
      </c>
      <c r="E1670" s="150" t="s">
        <v>4742</v>
      </c>
      <c r="F1670" s="150" t="s">
        <v>280</v>
      </c>
      <c r="G1670" s="149" t="s">
        <v>840</v>
      </c>
      <c r="H1670" s="151" t="str">
        <f t="shared" si="134"/>
        <v>1996/10/11</v>
      </c>
      <c r="I1670" s="150" t="s">
        <v>290</v>
      </c>
      <c r="J1670" s="150" t="s">
        <v>942</v>
      </c>
      <c r="K1670" s="101" t="str">
        <f t="shared" si="130"/>
        <v>96</v>
      </c>
      <c r="L1670" s="101" t="str">
        <f t="shared" si="131"/>
        <v>10</v>
      </c>
      <c r="M1670" s="101" t="str">
        <f t="shared" si="132"/>
        <v>11</v>
      </c>
    </row>
    <row r="1671" spans="1:13">
      <c r="A1671" t="str">
        <f t="shared" si="133"/>
        <v>環太平洋大学3344女</v>
      </c>
      <c r="B1671" s="150" t="s">
        <v>2618</v>
      </c>
      <c r="C1671" s="150">
        <v>3344</v>
      </c>
      <c r="D1671" s="150" t="s">
        <v>4350</v>
      </c>
      <c r="E1671" s="150" t="s">
        <v>4743</v>
      </c>
      <c r="F1671" s="150" t="s">
        <v>280</v>
      </c>
      <c r="G1671" s="149" t="s">
        <v>840</v>
      </c>
      <c r="H1671" s="151" t="str">
        <f t="shared" si="134"/>
        <v>1996/10/21</v>
      </c>
      <c r="I1671" s="150" t="s">
        <v>5</v>
      </c>
      <c r="J1671" s="150" t="s">
        <v>803</v>
      </c>
      <c r="K1671" s="101" t="str">
        <f t="shared" si="130"/>
        <v>96</v>
      </c>
      <c r="L1671" s="101" t="str">
        <f t="shared" si="131"/>
        <v>10</v>
      </c>
      <c r="M1671" s="101" t="str">
        <f t="shared" si="132"/>
        <v>21</v>
      </c>
    </row>
    <row r="1672" spans="1:13">
      <c r="A1672" t="str">
        <f t="shared" si="133"/>
        <v>環太平洋大学3345女</v>
      </c>
      <c r="B1672" s="150" t="s">
        <v>2618</v>
      </c>
      <c r="C1672" s="150">
        <v>3345</v>
      </c>
      <c r="D1672" s="150" t="s">
        <v>4351</v>
      </c>
      <c r="E1672" s="150" t="s">
        <v>4744</v>
      </c>
      <c r="F1672" s="150" t="s">
        <v>280</v>
      </c>
      <c r="G1672" s="149" t="s">
        <v>840</v>
      </c>
      <c r="H1672" s="151" t="str">
        <f t="shared" si="134"/>
        <v>1996/05/07</v>
      </c>
      <c r="I1672" s="150" t="s">
        <v>301</v>
      </c>
      <c r="J1672" s="150" t="s">
        <v>809</v>
      </c>
      <c r="K1672" s="101" t="str">
        <f t="shared" si="130"/>
        <v>96</v>
      </c>
      <c r="L1672" s="101" t="str">
        <f t="shared" si="131"/>
        <v>05</v>
      </c>
      <c r="M1672" s="101" t="str">
        <f t="shared" si="132"/>
        <v>07</v>
      </c>
    </row>
    <row r="1673" spans="1:13">
      <c r="A1673" t="str">
        <f t="shared" si="133"/>
        <v>環太平洋大学3346女</v>
      </c>
      <c r="B1673" s="150" t="s">
        <v>2618</v>
      </c>
      <c r="C1673" s="150">
        <v>3346</v>
      </c>
      <c r="D1673" s="150" t="s">
        <v>4352</v>
      </c>
      <c r="E1673" s="150" t="s">
        <v>4745</v>
      </c>
      <c r="F1673" s="150" t="s">
        <v>280</v>
      </c>
      <c r="G1673" s="149" t="s">
        <v>840</v>
      </c>
      <c r="H1673" s="151" t="str">
        <f t="shared" si="134"/>
        <v>1996/07/29</v>
      </c>
      <c r="I1673" s="150" t="s">
        <v>277</v>
      </c>
      <c r="J1673" s="150" t="s">
        <v>4851</v>
      </c>
      <c r="K1673" s="101" t="str">
        <f t="shared" si="130"/>
        <v>96</v>
      </c>
      <c r="L1673" s="101" t="str">
        <f t="shared" si="131"/>
        <v>07</v>
      </c>
      <c r="M1673" s="101" t="str">
        <f t="shared" si="132"/>
        <v>29</v>
      </c>
    </row>
    <row r="1674" spans="1:13">
      <c r="A1674" t="str">
        <f t="shared" si="133"/>
        <v>環太平洋大学3347女</v>
      </c>
      <c r="B1674" s="150" t="s">
        <v>2618</v>
      </c>
      <c r="C1674" s="150">
        <v>3347</v>
      </c>
      <c r="D1674" s="150" t="s">
        <v>4353</v>
      </c>
      <c r="E1674" s="150" t="s">
        <v>4746</v>
      </c>
      <c r="F1674" s="150" t="s">
        <v>280</v>
      </c>
      <c r="G1674" s="149" t="s">
        <v>840</v>
      </c>
      <c r="H1674" s="151" t="str">
        <f t="shared" si="134"/>
        <v>1997/01/03</v>
      </c>
      <c r="I1674" s="150" t="s">
        <v>299</v>
      </c>
      <c r="J1674" s="150" t="s">
        <v>717</v>
      </c>
      <c r="K1674" s="101" t="str">
        <f t="shared" si="130"/>
        <v>97</v>
      </c>
      <c r="L1674" s="101" t="str">
        <f t="shared" si="131"/>
        <v>01</v>
      </c>
      <c r="M1674" s="101" t="str">
        <f t="shared" si="132"/>
        <v>03</v>
      </c>
    </row>
    <row r="1675" spans="1:13">
      <c r="A1675" t="str">
        <f t="shared" si="133"/>
        <v>環太平洋大学3348女</v>
      </c>
      <c r="B1675" s="150" t="s">
        <v>2618</v>
      </c>
      <c r="C1675" s="150">
        <v>3348</v>
      </c>
      <c r="D1675" s="150" t="s">
        <v>4354</v>
      </c>
      <c r="E1675" s="150" t="s">
        <v>4747</v>
      </c>
      <c r="F1675" s="150" t="s">
        <v>280</v>
      </c>
      <c r="G1675" s="149" t="s">
        <v>840</v>
      </c>
      <c r="H1675" s="151" t="str">
        <f t="shared" si="134"/>
        <v>1997/01/03</v>
      </c>
      <c r="I1675" s="150" t="s">
        <v>289</v>
      </c>
      <c r="J1675" s="150" t="s">
        <v>717</v>
      </c>
      <c r="K1675" s="101" t="str">
        <f t="shared" si="130"/>
        <v>97</v>
      </c>
      <c r="L1675" s="101" t="str">
        <f t="shared" si="131"/>
        <v>01</v>
      </c>
      <c r="M1675" s="101" t="str">
        <f t="shared" si="132"/>
        <v>03</v>
      </c>
    </row>
    <row r="1676" spans="1:13">
      <c r="A1676" t="str">
        <f t="shared" si="133"/>
        <v>環太平洋大学3349女</v>
      </c>
      <c r="B1676" s="150" t="s">
        <v>2618</v>
      </c>
      <c r="C1676" s="150">
        <v>3349</v>
      </c>
      <c r="D1676" s="150" t="s">
        <v>4355</v>
      </c>
      <c r="E1676" s="150" t="s">
        <v>4748</v>
      </c>
      <c r="F1676" s="150" t="s">
        <v>280</v>
      </c>
      <c r="G1676" s="149" t="s">
        <v>840</v>
      </c>
      <c r="H1676" s="151" t="str">
        <f t="shared" si="134"/>
        <v>1997/01/21</v>
      </c>
      <c r="I1676" s="150" t="s">
        <v>299</v>
      </c>
      <c r="J1676" s="150" t="s">
        <v>707</v>
      </c>
      <c r="K1676" s="101" t="str">
        <f t="shared" si="130"/>
        <v>97</v>
      </c>
      <c r="L1676" s="101" t="str">
        <f t="shared" si="131"/>
        <v>01</v>
      </c>
      <c r="M1676" s="101" t="str">
        <f t="shared" si="132"/>
        <v>21</v>
      </c>
    </row>
    <row r="1677" spans="1:13">
      <c r="A1677" t="str">
        <f t="shared" si="133"/>
        <v>環太平洋大学3350女</v>
      </c>
      <c r="B1677" s="150" t="s">
        <v>2618</v>
      </c>
      <c r="C1677" s="150">
        <v>3350</v>
      </c>
      <c r="D1677" s="150" t="s">
        <v>4356</v>
      </c>
      <c r="E1677" s="150" t="s">
        <v>4749</v>
      </c>
      <c r="F1677" s="150" t="s">
        <v>280</v>
      </c>
      <c r="G1677" s="149" t="s">
        <v>840</v>
      </c>
      <c r="H1677" s="151" t="str">
        <f t="shared" si="134"/>
        <v>1996/05/19</v>
      </c>
      <c r="I1677" s="150" t="s">
        <v>277</v>
      </c>
      <c r="J1677" s="150" t="s">
        <v>943</v>
      </c>
      <c r="K1677" s="101" t="str">
        <f t="shared" si="130"/>
        <v>96</v>
      </c>
      <c r="L1677" s="101" t="str">
        <f t="shared" si="131"/>
        <v>05</v>
      </c>
      <c r="M1677" s="101" t="str">
        <f t="shared" si="132"/>
        <v>19</v>
      </c>
    </row>
    <row r="1678" spans="1:13">
      <c r="A1678" t="str">
        <f t="shared" si="133"/>
        <v>環太平洋大学3351女</v>
      </c>
      <c r="B1678" s="150" t="s">
        <v>2618</v>
      </c>
      <c r="C1678" s="150">
        <v>3351</v>
      </c>
      <c r="D1678" s="150" t="s">
        <v>4357</v>
      </c>
      <c r="E1678" s="150" t="s">
        <v>4750</v>
      </c>
      <c r="F1678" s="150" t="s">
        <v>280</v>
      </c>
      <c r="G1678" s="149" t="s">
        <v>840</v>
      </c>
      <c r="H1678" s="151" t="str">
        <f t="shared" si="134"/>
        <v>1997/01/28</v>
      </c>
      <c r="I1678" s="150" t="s">
        <v>277</v>
      </c>
      <c r="J1678" s="150" t="s">
        <v>3965</v>
      </c>
      <c r="K1678" s="101" t="str">
        <f t="shared" si="130"/>
        <v>97</v>
      </c>
      <c r="L1678" s="101" t="str">
        <f t="shared" si="131"/>
        <v>01</v>
      </c>
      <c r="M1678" s="101" t="str">
        <f t="shared" si="132"/>
        <v>28</v>
      </c>
    </row>
    <row r="1679" spans="1:13">
      <c r="A1679" t="str">
        <f t="shared" si="133"/>
        <v>環太平洋大学3352女</v>
      </c>
      <c r="B1679" s="150" t="s">
        <v>2618</v>
      </c>
      <c r="C1679" s="150">
        <v>3352</v>
      </c>
      <c r="D1679" s="150" t="s">
        <v>4358</v>
      </c>
      <c r="E1679" s="150" t="s">
        <v>4751</v>
      </c>
      <c r="F1679" s="150" t="s">
        <v>280</v>
      </c>
      <c r="G1679" s="149" t="s">
        <v>840</v>
      </c>
      <c r="H1679" s="151" t="str">
        <f t="shared" si="134"/>
        <v>1994/06/20</v>
      </c>
      <c r="I1679" s="150" t="s">
        <v>277</v>
      </c>
      <c r="J1679" s="150" t="s">
        <v>586</v>
      </c>
      <c r="K1679" s="101" t="str">
        <f t="shared" si="130"/>
        <v>94</v>
      </c>
      <c r="L1679" s="101" t="str">
        <f t="shared" si="131"/>
        <v>06</v>
      </c>
      <c r="M1679" s="101" t="str">
        <f t="shared" si="132"/>
        <v>20</v>
      </c>
    </row>
    <row r="1680" spans="1:13">
      <c r="A1680" t="str">
        <f t="shared" si="133"/>
        <v>環太平洋大学3353女</v>
      </c>
      <c r="B1680" s="150" t="s">
        <v>2618</v>
      </c>
      <c r="C1680" s="150">
        <v>3353</v>
      </c>
      <c r="D1680" s="150" t="s">
        <v>4359</v>
      </c>
      <c r="E1680" s="150" t="s">
        <v>4752</v>
      </c>
      <c r="F1680" s="150" t="s">
        <v>280</v>
      </c>
      <c r="G1680" s="149" t="s">
        <v>840</v>
      </c>
      <c r="H1680" s="151" t="str">
        <f t="shared" si="134"/>
        <v>1996/06/16</v>
      </c>
      <c r="I1680" s="150" t="s">
        <v>275</v>
      </c>
      <c r="J1680" s="150" t="s">
        <v>759</v>
      </c>
      <c r="K1680" s="101" t="str">
        <f t="shared" si="130"/>
        <v>96</v>
      </c>
      <c r="L1680" s="101" t="str">
        <f t="shared" si="131"/>
        <v>06</v>
      </c>
      <c r="M1680" s="101" t="str">
        <f t="shared" si="132"/>
        <v>16</v>
      </c>
    </row>
    <row r="1681" spans="1:13">
      <c r="A1681" t="str">
        <f t="shared" si="133"/>
        <v>広島工業大学3354女</v>
      </c>
      <c r="B1681" s="150" t="s">
        <v>1142</v>
      </c>
      <c r="C1681" s="150">
        <v>3354</v>
      </c>
      <c r="D1681" s="150" t="s">
        <v>4360</v>
      </c>
      <c r="E1681" s="150" t="s">
        <v>4753</v>
      </c>
      <c r="F1681" s="150" t="s">
        <v>280</v>
      </c>
      <c r="G1681" s="149" t="s">
        <v>840</v>
      </c>
      <c r="H1681" s="151" t="str">
        <f t="shared" si="134"/>
        <v>1997/01/29</v>
      </c>
      <c r="I1681" s="150" t="s">
        <v>295</v>
      </c>
      <c r="J1681" s="150" t="s">
        <v>918</v>
      </c>
      <c r="K1681" s="101" t="str">
        <f t="shared" si="130"/>
        <v>97</v>
      </c>
      <c r="L1681" s="101" t="str">
        <f t="shared" si="131"/>
        <v>01</v>
      </c>
      <c r="M1681" s="101" t="str">
        <f t="shared" si="132"/>
        <v>29</v>
      </c>
    </row>
    <row r="1682" spans="1:13">
      <c r="A1682" t="str">
        <f t="shared" si="133"/>
        <v>至誠館大学3355女</v>
      </c>
      <c r="B1682" s="150" t="s">
        <v>1880</v>
      </c>
      <c r="C1682" s="150">
        <v>3355</v>
      </c>
      <c r="D1682" s="150" t="s">
        <v>4361</v>
      </c>
      <c r="E1682" s="150" t="s">
        <v>4754</v>
      </c>
      <c r="F1682" s="150" t="s">
        <v>280</v>
      </c>
      <c r="G1682" s="149" t="s">
        <v>840</v>
      </c>
      <c r="H1682" s="151" t="str">
        <f t="shared" si="134"/>
        <v>1996/10/25</v>
      </c>
      <c r="I1682" s="150" t="s">
        <v>269</v>
      </c>
      <c r="J1682" s="150" t="s">
        <v>827</v>
      </c>
      <c r="K1682" s="101" t="str">
        <f t="shared" si="130"/>
        <v>96</v>
      </c>
      <c r="L1682" s="101" t="str">
        <f t="shared" si="131"/>
        <v>10</v>
      </c>
      <c r="M1682" s="101" t="str">
        <f t="shared" si="132"/>
        <v>25</v>
      </c>
    </row>
    <row r="1683" spans="1:13">
      <c r="A1683" t="str">
        <f t="shared" si="133"/>
        <v>松山大学3356女</v>
      </c>
      <c r="B1683" s="150" t="s">
        <v>2840</v>
      </c>
      <c r="C1683" s="150">
        <v>3356</v>
      </c>
      <c r="D1683" s="150" t="s">
        <v>4362</v>
      </c>
      <c r="E1683" s="150" t="s">
        <v>4755</v>
      </c>
      <c r="F1683" s="150" t="s">
        <v>280</v>
      </c>
      <c r="G1683" s="149" t="s">
        <v>840</v>
      </c>
      <c r="H1683" s="151" t="str">
        <f t="shared" si="134"/>
        <v>1996/10/28</v>
      </c>
      <c r="I1683" s="150" t="s">
        <v>281</v>
      </c>
      <c r="J1683" s="150" t="s">
        <v>819</v>
      </c>
      <c r="K1683" s="101" t="str">
        <f t="shared" si="130"/>
        <v>96</v>
      </c>
      <c r="L1683" s="101" t="str">
        <f t="shared" si="131"/>
        <v>10</v>
      </c>
      <c r="M1683" s="101" t="str">
        <f t="shared" si="132"/>
        <v>28</v>
      </c>
    </row>
    <row r="1684" spans="1:13">
      <c r="A1684" t="str">
        <f t="shared" si="133"/>
        <v>松山大学3357女</v>
      </c>
      <c r="B1684" s="150" t="s">
        <v>2840</v>
      </c>
      <c r="C1684" s="150">
        <v>3357</v>
      </c>
      <c r="D1684" s="150" t="s">
        <v>4363</v>
      </c>
      <c r="E1684" s="150" t="s">
        <v>4756</v>
      </c>
      <c r="F1684" s="150" t="s">
        <v>280</v>
      </c>
      <c r="G1684" s="149" t="s">
        <v>840</v>
      </c>
      <c r="H1684" s="151" t="str">
        <f t="shared" si="134"/>
        <v>1996/04/10</v>
      </c>
      <c r="I1684" s="150" t="s">
        <v>281</v>
      </c>
      <c r="J1684" s="150" t="s">
        <v>3813</v>
      </c>
      <c r="K1684" s="101" t="str">
        <f t="shared" si="130"/>
        <v>96</v>
      </c>
      <c r="L1684" s="101" t="str">
        <f t="shared" si="131"/>
        <v>04</v>
      </c>
      <c r="M1684" s="101" t="str">
        <f t="shared" si="132"/>
        <v>10</v>
      </c>
    </row>
    <row r="1685" spans="1:13">
      <c r="A1685" t="str">
        <f t="shared" si="133"/>
        <v>松山大学3358女</v>
      </c>
      <c r="B1685" s="150" t="s">
        <v>2840</v>
      </c>
      <c r="C1685" s="150">
        <v>3358</v>
      </c>
      <c r="D1685" s="150" t="s">
        <v>4364</v>
      </c>
      <c r="E1685" s="150" t="s">
        <v>4757</v>
      </c>
      <c r="F1685" s="150" t="s">
        <v>280</v>
      </c>
      <c r="G1685" s="149" t="s">
        <v>840</v>
      </c>
      <c r="H1685" s="151" t="str">
        <f t="shared" si="134"/>
        <v>1997/02/26</v>
      </c>
      <c r="I1685" s="150" t="s">
        <v>276</v>
      </c>
      <c r="J1685" s="150" t="s">
        <v>736</v>
      </c>
      <c r="K1685" s="101" t="str">
        <f t="shared" si="130"/>
        <v>97</v>
      </c>
      <c r="L1685" s="101" t="str">
        <f t="shared" si="131"/>
        <v>02</v>
      </c>
      <c r="M1685" s="101" t="str">
        <f t="shared" si="132"/>
        <v>26</v>
      </c>
    </row>
    <row r="1686" spans="1:13">
      <c r="A1686" t="str">
        <f t="shared" si="133"/>
        <v>松山大学3359女</v>
      </c>
      <c r="B1686" s="150" t="s">
        <v>2840</v>
      </c>
      <c r="C1686" s="150">
        <v>3359</v>
      </c>
      <c r="D1686" s="150" t="s">
        <v>4365</v>
      </c>
      <c r="E1686" s="150" t="s">
        <v>4758</v>
      </c>
      <c r="F1686" s="150" t="s">
        <v>280</v>
      </c>
      <c r="G1686" s="149" t="s">
        <v>840</v>
      </c>
      <c r="H1686" s="151" t="str">
        <f t="shared" si="134"/>
        <v>1996/07/16</v>
      </c>
      <c r="I1686" s="150" t="s">
        <v>281</v>
      </c>
      <c r="J1686" s="150" t="s">
        <v>697</v>
      </c>
      <c r="K1686" s="101" t="str">
        <f t="shared" si="130"/>
        <v>96</v>
      </c>
      <c r="L1686" s="101" t="str">
        <f t="shared" si="131"/>
        <v>07</v>
      </c>
      <c r="M1686" s="101" t="str">
        <f t="shared" si="132"/>
        <v>16</v>
      </c>
    </row>
    <row r="1687" spans="1:13">
      <c r="A1687" t="str">
        <f t="shared" si="133"/>
        <v>松山大学3360女</v>
      </c>
      <c r="B1687" s="150" t="s">
        <v>2840</v>
      </c>
      <c r="C1687" s="150">
        <v>3360</v>
      </c>
      <c r="D1687" s="150" t="s">
        <v>4366</v>
      </c>
      <c r="E1687" s="150" t="s">
        <v>4759</v>
      </c>
      <c r="F1687" s="150" t="s">
        <v>280</v>
      </c>
      <c r="G1687" s="149" t="s">
        <v>840</v>
      </c>
      <c r="H1687" s="151" t="str">
        <f t="shared" si="134"/>
        <v>1997/02/20</v>
      </c>
      <c r="I1687" s="150" t="s">
        <v>276</v>
      </c>
      <c r="J1687" s="150" t="s">
        <v>4852</v>
      </c>
      <c r="K1687" s="101" t="str">
        <f t="shared" si="130"/>
        <v>97</v>
      </c>
      <c r="L1687" s="101" t="str">
        <f t="shared" si="131"/>
        <v>02</v>
      </c>
      <c r="M1687" s="101" t="str">
        <f t="shared" si="132"/>
        <v>20</v>
      </c>
    </row>
    <row r="1688" spans="1:13">
      <c r="A1688" t="str">
        <f t="shared" si="133"/>
        <v>松山大学3361女</v>
      </c>
      <c r="B1688" s="150" t="s">
        <v>2840</v>
      </c>
      <c r="C1688" s="150">
        <v>3361</v>
      </c>
      <c r="D1688" s="150" t="s">
        <v>4367</v>
      </c>
      <c r="E1688" s="150" t="s">
        <v>4760</v>
      </c>
      <c r="F1688" s="150" t="s">
        <v>280</v>
      </c>
      <c r="G1688" s="149" t="s">
        <v>840</v>
      </c>
      <c r="H1688" s="151" t="str">
        <f t="shared" si="134"/>
        <v>1996/05/16</v>
      </c>
      <c r="I1688" s="150" t="s">
        <v>281</v>
      </c>
      <c r="J1688" s="150" t="s">
        <v>700</v>
      </c>
      <c r="K1688" s="101" t="str">
        <f t="shared" si="130"/>
        <v>96</v>
      </c>
      <c r="L1688" s="101" t="str">
        <f t="shared" si="131"/>
        <v>05</v>
      </c>
      <c r="M1688" s="101" t="str">
        <f t="shared" si="132"/>
        <v>16</v>
      </c>
    </row>
    <row r="1689" spans="1:13">
      <c r="A1689" t="str">
        <f t="shared" si="133"/>
        <v>松山大学3362女</v>
      </c>
      <c r="B1689" s="150" t="s">
        <v>2840</v>
      </c>
      <c r="C1689" s="150">
        <v>3362</v>
      </c>
      <c r="D1689" s="150" t="s">
        <v>4368</v>
      </c>
      <c r="E1689" s="150" t="s">
        <v>4761</v>
      </c>
      <c r="F1689" s="150" t="s">
        <v>280</v>
      </c>
      <c r="G1689" s="149" t="s">
        <v>840</v>
      </c>
      <c r="H1689" s="151" t="str">
        <f t="shared" si="134"/>
        <v>1996/12/03</v>
      </c>
      <c r="I1689" s="150" t="s">
        <v>281</v>
      </c>
      <c r="J1689" s="150" t="s">
        <v>4853</v>
      </c>
      <c r="K1689" s="101" t="str">
        <f t="shared" si="130"/>
        <v>96</v>
      </c>
      <c r="L1689" s="101" t="str">
        <f t="shared" si="131"/>
        <v>12</v>
      </c>
      <c r="M1689" s="101" t="str">
        <f t="shared" si="132"/>
        <v>03</v>
      </c>
    </row>
    <row r="1690" spans="1:13">
      <c r="A1690" t="str">
        <f t="shared" si="133"/>
        <v>広島大学3363女</v>
      </c>
      <c r="B1690" s="150" t="s">
        <v>1364</v>
      </c>
      <c r="C1690" s="150">
        <v>3363</v>
      </c>
      <c r="D1690" s="150" t="s">
        <v>4369</v>
      </c>
      <c r="E1690" s="150" t="s">
        <v>4762</v>
      </c>
      <c r="F1690" s="150" t="s">
        <v>280</v>
      </c>
      <c r="G1690" s="149" t="s">
        <v>840</v>
      </c>
      <c r="H1690" s="151" t="str">
        <f t="shared" si="134"/>
        <v>1996/08/30</v>
      </c>
      <c r="I1690" s="150" t="s">
        <v>278</v>
      </c>
      <c r="J1690" s="150" t="s">
        <v>704</v>
      </c>
      <c r="K1690" s="101" t="str">
        <f t="shared" si="130"/>
        <v>96</v>
      </c>
      <c r="L1690" s="101" t="str">
        <f t="shared" si="131"/>
        <v>08</v>
      </c>
      <c r="M1690" s="101" t="str">
        <f t="shared" si="132"/>
        <v>30</v>
      </c>
    </row>
    <row r="1691" spans="1:13">
      <c r="A1691" t="str">
        <f t="shared" si="133"/>
        <v>愛媛大学3364女</v>
      </c>
      <c r="B1691" s="150" t="s">
        <v>2107</v>
      </c>
      <c r="C1691" s="150">
        <v>3364</v>
      </c>
      <c r="D1691" s="150" t="s">
        <v>4370</v>
      </c>
      <c r="E1691" s="150" t="s">
        <v>4763</v>
      </c>
      <c r="F1691" s="150" t="s">
        <v>280</v>
      </c>
      <c r="G1691" s="149" t="s">
        <v>840</v>
      </c>
      <c r="H1691" s="151" t="str">
        <f t="shared" si="134"/>
        <v>1996/06/05</v>
      </c>
      <c r="I1691" s="150" t="s">
        <v>281</v>
      </c>
      <c r="J1691" s="150" t="s">
        <v>4000</v>
      </c>
      <c r="K1691" s="101" t="str">
        <f t="shared" si="130"/>
        <v>96</v>
      </c>
      <c r="L1691" s="101" t="str">
        <f t="shared" si="131"/>
        <v>06</v>
      </c>
      <c r="M1691" s="101" t="str">
        <f t="shared" si="132"/>
        <v>05</v>
      </c>
    </row>
    <row r="1692" spans="1:13">
      <c r="A1692" t="str">
        <f t="shared" si="133"/>
        <v>愛媛大学3365女</v>
      </c>
      <c r="B1692" s="150" t="s">
        <v>2107</v>
      </c>
      <c r="C1692" s="150">
        <v>3365</v>
      </c>
      <c r="D1692" s="150" t="s">
        <v>4371</v>
      </c>
      <c r="E1692" s="150" t="s">
        <v>4764</v>
      </c>
      <c r="F1692" s="150" t="s">
        <v>280</v>
      </c>
      <c r="G1692" s="149" t="s">
        <v>840</v>
      </c>
      <c r="H1692" s="151" t="str">
        <f t="shared" si="134"/>
        <v>1996/10/27</v>
      </c>
      <c r="I1692" s="150" t="s">
        <v>281</v>
      </c>
      <c r="J1692" s="150" t="s">
        <v>712</v>
      </c>
      <c r="K1692" s="101" t="str">
        <f t="shared" si="130"/>
        <v>96</v>
      </c>
      <c r="L1692" s="101" t="str">
        <f t="shared" si="131"/>
        <v>10</v>
      </c>
      <c r="M1692" s="101" t="str">
        <f t="shared" si="132"/>
        <v>27</v>
      </c>
    </row>
    <row r="1693" spans="1:13">
      <c r="A1693" t="str">
        <f t="shared" si="133"/>
        <v>愛媛大学3366女</v>
      </c>
      <c r="B1693" s="150" t="s">
        <v>2107</v>
      </c>
      <c r="C1693" s="150">
        <v>3366</v>
      </c>
      <c r="D1693" s="150" t="s">
        <v>4372</v>
      </c>
      <c r="E1693" s="150" t="s">
        <v>4765</v>
      </c>
      <c r="F1693" s="150" t="s">
        <v>280</v>
      </c>
      <c r="G1693" s="149" t="s">
        <v>840</v>
      </c>
      <c r="H1693" s="151" t="str">
        <f t="shared" si="134"/>
        <v>1996/08/20</v>
      </c>
      <c r="I1693" s="150" t="s">
        <v>281</v>
      </c>
      <c r="J1693" s="150" t="s">
        <v>800</v>
      </c>
      <c r="K1693" s="101" t="str">
        <f t="shared" si="130"/>
        <v>96</v>
      </c>
      <c r="L1693" s="101" t="str">
        <f t="shared" si="131"/>
        <v>08</v>
      </c>
      <c r="M1693" s="101" t="str">
        <f t="shared" si="132"/>
        <v>20</v>
      </c>
    </row>
    <row r="1694" spans="1:13">
      <c r="A1694" t="str">
        <f t="shared" si="133"/>
        <v>宇部フロンティア大学3367女</v>
      </c>
      <c r="B1694" s="150" t="s">
        <v>3424</v>
      </c>
      <c r="C1694" s="150">
        <v>3367</v>
      </c>
      <c r="D1694" s="150" t="s">
        <v>4373</v>
      </c>
      <c r="E1694" s="150" t="s">
        <v>4766</v>
      </c>
      <c r="F1694" s="150" t="s">
        <v>267</v>
      </c>
      <c r="G1694" s="149" t="s">
        <v>840</v>
      </c>
      <c r="H1694" s="151" t="str">
        <f t="shared" si="134"/>
        <v>1995/10/29</v>
      </c>
      <c r="I1694" s="150" t="s">
        <v>269</v>
      </c>
      <c r="J1694" s="150" t="s">
        <v>931</v>
      </c>
      <c r="K1694" s="101" t="str">
        <f t="shared" si="130"/>
        <v>95</v>
      </c>
      <c r="L1694" s="101" t="str">
        <f t="shared" si="131"/>
        <v>10</v>
      </c>
      <c r="M1694" s="101" t="str">
        <f t="shared" si="132"/>
        <v>29</v>
      </c>
    </row>
    <row r="1695" spans="1:13">
      <c r="A1695" t="str">
        <f t="shared" si="133"/>
        <v>岡山大学3368女</v>
      </c>
      <c r="B1695" s="150" t="s">
        <v>1963</v>
      </c>
      <c r="C1695" s="150">
        <v>3368</v>
      </c>
      <c r="D1695" s="150" t="s">
        <v>4374</v>
      </c>
      <c r="E1695" s="150" t="s">
        <v>4767</v>
      </c>
      <c r="F1695" s="150" t="s">
        <v>280</v>
      </c>
      <c r="G1695" s="149" t="s">
        <v>840</v>
      </c>
      <c r="H1695" s="151" t="str">
        <f t="shared" si="134"/>
        <v>1996/02/04</v>
      </c>
      <c r="I1695" s="150" t="s">
        <v>277</v>
      </c>
      <c r="J1695" s="150" t="s">
        <v>806</v>
      </c>
      <c r="K1695" s="101" t="str">
        <f t="shared" si="130"/>
        <v>96</v>
      </c>
      <c r="L1695" s="101" t="str">
        <f t="shared" si="131"/>
        <v>02</v>
      </c>
      <c r="M1695" s="101" t="str">
        <f t="shared" si="132"/>
        <v>04</v>
      </c>
    </row>
    <row r="1696" spans="1:13">
      <c r="A1696" t="str">
        <f t="shared" si="133"/>
        <v>岡山大学3369女</v>
      </c>
      <c r="B1696" s="150" t="s">
        <v>1963</v>
      </c>
      <c r="C1696" s="150">
        <v>3369</v>
      </c>
      <c r="D1696" s="150" t="s">
        <v>4375</v>
      </c>
      <c r="E1696" s="150" t="s">
        <v>4768</v>
      </c>
      <c r="F1696" s="150" t="s">
        <v>280</v>
      </c>
      <c r="G1696" s="149" t="s">
        <v>840</v>
      </c>
      <c r="H1696" s="151" t="str">
        <f t="shared" si="134"/>
        <v>1996/06/10</v>
      </c>
      <c r="I1696" s="150" t="s">
        <v>299</v>
      </c>
      <c r="J1696" s="150" t="s">
        <v>3963</v>
      </c>
      <c r="K1696" s="101" t="str">
        <f t="shared" si="130"/>
        <v>96</v>
      </c>
      <c r="L1696" s="101" t="str">
        <f t="shared" si="131"/>
        <v>06</v>
      </c>
      <c r="M1696" s="101" t="str">
        <f t="shared" si="132"/>
        <v>10</v>
      </c>
    </row>
    <row r="1697" spans="1:13">
      <c r="A1697" t="str">
        <f t="shared" si="133"/>
        <v>岡山大学3370女</v>
      </c>
      <c r="B1697" s="150" t="s">
        <v>1963</v>
      </c>
      <c r="C1697" s="150">
        <v>3370</v>
      </c>
      <c r="D1697" s="150" t="s">
        <v>4376</v>
      </c>
      <c r="E1697" s="150" t="s">
        <v>4769</v>
      </c>
      <c r="F1697" s="150" t="s">
        <v>280</v>
      </c>
      <c r="G1697" s="149" t="s">
        <v>840</v>
      </c>
      <c r="H1697" s="151" t="str">
        <f t="shared" si="134"/>
        <v>1996/08/22</v>
      </c>
      <c r="I1697" s="150" t="s">
        <v>299</v>
      </c>
      <c r="J1697" s="150" t="s">
        <v>740</v>
      </c>
      <c r="K1697" s="101" t="str">
        <f t="shared" si="130"/>
        <v>96</v>
      </c>
      <c r="L1697" s="101" t="str">
        <f t="shared" si="131"/>
        <v>08</v>
      </c>
      <c r="M1697" s="101" t="str">
        <f t="shared" si="132"/>
        <v>22</v>
      </c>
    </row>
    <row r="1698" spans="1:13">
      <c r="A1698" t="str">
        <f t="shared" si="133"/>
        <v>高知県立大学3371女</v>
      </c>
      <c r="B1698" s="150" t="s">
        <v>3437</v>
      </c>
      <c r="C1698" s="150">
        <v>3371</v>
      </c>
      <c r="D1698" s="150" t="s">
        <v>4377</v>
      </c>
      <c r="E1698" s="150" t="s">
        <v>4770</v>
      </c>
      <c r="F1698" s="150" t="s">
        <v>280</v>
      </c>
      <c r="G1698" s="149" t="s">
        <v>840</v>
      </c>
      <c r="H1698" s="151" t="str">
        <f t="shared" si="134"/>
        <v>1996/09/07</v>
      </c>
      <c r="I1698" s="150" t="s">
        <v>263</v>
      </c>
      <c r="J1698" s="150" t="s">
        <v>755</v>
      </c>
      <c r="K1698" s="101" t="str">
        <f t="shared" ref="K1698:K1703" si="135">MID(J1698,1,2)</f>
        <v>96</v>
      </c>
      <c r="L1698" s="101" t="str">
        <f t="shared" ref="L1698:L1703" si="136">MID(J1698,3,2)</f>
        <v>09</v>
      </c>
      <c r="M1698" s="101" t="str">
        <f t="shared" ref="M1698:M1703" si="137">MID(J1698,5,2)</f>
        <v>07</v>
      </c>
    </row>
    <row r="1699" spans="1:13">
      <c r="A1699" t="str">
        <f t="shared" si="133"/>
        <v>高知県立大学3372女</v>
      </c>
      <c r="B1699" s="150" t="s">
        <v>3437</v>
      </c>
      <c r="C1699" s="150">
        <v>3372</v>
      </c>
      <c r="D1699" s="150" t="s">
        <v>4378</v>
      </c>
      <c r="E1699" s="150" t="s">
        <v>4771</v>
      </c>
      <c r="F1699" s="150" t="s">
        <v>280</v>
      </c>
      <c r="G1699" s="149" t="s">
        <v>840</v>
      </c>
      <c r="H1699" s="151" t="str">
        <f t="shared" si="134"/>
        <v>1996/10/30</v>
      </c>
      <c r="I1699" s="150" t="s">
        <v>263</v>
      </c>
      <c r="J1699" s="150" t="s">
        <v>4854</v>
      </c>
      <c r="K1699" s="101" t="str">
        <f t="shared" si="135"/>
        <v>96</v>
      </c>
      <c r="L1699" s="101" t="str">
        <f t="shared" si="136"/>
        <v>10</v>
      </c>
      <c r="M1699" s="101" t="str">
        <f t="shared" si="137"/>
        <v>30</v>
      </c>
    </row>
    <row r="1700" spans="1:13">
      <c r="A1700" t="str">
        <f t="shared" si="133"/>
        <v>高知大学3373女</v>
      </c>
      <c r="B1700" s="150" t="s">
        <v>1787</v>
      </c>
      <c r="C1700" s="150">
        <v>3373</v>
      </c>
      <c r="D1700" s="150" t="s">
        <v>4379</v>
      </c>
      <c r="E1700" s="150" t="s">
        <v>4772</v>
      </c>
      <c r="F1700" s="150" t="s">
        <v>280</v>
      </c>
      <c r="G1700" s="149" t="s">
        <v>840</v>
      </c>
      <c r="H1700" s="151" t="str">
        <f t="shared" si="134"/>
        <v>1996/04/23</v>
      </c>
      <c r="I1700" s="150" t="s">
        <v>263</v>
      </c>
      <c r="J1700" s="150" t="s">
        <v>3926</v>
      </c>
      <c r="K1700" s="101" t="str">
        <f t="shared" si="135"/>
        <v>96</v>
      </c>
      <c r="L1700" s="101" t="str">
        <f t="shared" si="136"/>
        <v>04</v>
      </c>
      <c r="M1700" s="101" t="str">
        <f t="shared" si="137"/>
        <v>23</v>
      </c>
    </row>
    <row r="1701" spans="1:13">
      <c r="A1701" t="str">
        <f t="shared" si="133"/>
        <v>高知大学3374女</v>
      </c>
      <c r="B1701" s="150" t="s">
        <v>1787</v>
      </c>
      <c r="C1701" s="150">
        <v>3374</v>
      </c>
      <c r="D1701" s="150" t="s">
        <v>4380</v>
      </c>
      <c r="E1701" s="150" t="s">
        <v>4773</v>
      </c>
      <c r="F1701" s="150" t="s">
        <v>280</v>
      </c>
      <c r="G1701" s="149" t="s">
        <v>840</v>
      </c>
      <c r="H1701" s="151" t="str">
        <f t="shared" si="134"/>
        <v>1996/10/15</v>
      </c>
      <c r="I1701" s="150" t="s">
        <v>263</v>
      </c>
      <c r="J1701" s="150" t="s">
        <v>730</v>
      </c>
      <c r="K1701" s="101" t="str">
        <f t="shared" si="135"/>
        <v>96</v>
      </c>
      <c r="L1701" s="101" t="str">
        <f t="shared" si="136"/>
        <v>10</v>
      </c>
      <c r="M1701" s="101" t="str">
        <f t="shared" si="137"/>
        <v>15</v>
      </c>
    </row>
    <row r="1702" spans="1:13">
      <c r="A1702" t="str">
        <f t="shared" si="133"/>
        <v>高知大学3375女</v>
      </c>
      <c r="B1702" s="150" t="s">
        <v>1787</v>
      </c>
      <c r="C1702" s="150">
        <v>3375</v>
      </c>
      <c r="D1702" s="150" t="s">
        <v>4381</v>
      </c>
      <c r="E1702" s="150" t="s">
        <v>4774</v>
      </c>
      <c r="F1702" s="150" t="s">
        <v>280</v>
      </c>
      <c r="G1702" s="149" t="s">
        <v>840</v>
      </c>
      <c r="H1702" s="151" t="str">
        <f t="shared" si="134"/>
        <v>1995/10/24</v>
      </c>
      <c r="I1702" s="150" t="s">
        <v>263</v>
      </c>
      <c r="J1702" s="150" t="s">
        <v>3790</v>
      </c>
      <c r="K1702" s="101" t="str">
        <f t="shared" si="135"/>
        <v>95</v>
      </c>
      <c r="L1702" s="101" t="str">
        <f t="shared" si="136"/>
        <v>10</v>
      </c>
      <c r="M1702" s="101" t="str">
        <f t="shared" si="137"/>
        <v>24</v>
      </c>
    </row>
    <row r="1703" spans="1:13">
      <c r="A1703" t="str">
        <f t="shared" si="133"/>
        <v>下関市立大学3376女</v>
      </c>
      <c r="B1703" s="150" t="s">
        <v>2318</v>
      </c>
      <c r="C1703" s="150">
        <v>3376</v>
      </c>
      <c r="D1703" s="150" t="s">
        <v>4382</v>
      </c>
      <c r="E1703" s="150" t="s">
        <v>4775</v>
      </c>
      <c r="F1703" s="150" t="s">
        <v>280</v>
      </c>
      <c r="G1703" s="149" t="s">
        <v>840</v>
      </c>
      <c r="H1703" s="151" t="str">
        <f t="shared" si="134"/>
        <v>1994/05/04</v>
      </c>
      <c r="I1703" s="150" t="s">
        <v>269</v>
      </c>
      <c r="J1703" s="150" t="s">
        <v>907</v>
      </c>
      <c r="K1703" s="101" t="str">
        <f t="shared" si="135"/>
        <v>94</v>
      </c>
      <c r="L1703" s="101" t="str">
        <f t="shared" si="136"/>
        <v>05</v>
      </c>
      <c r="M1703" s="101" t="str">
        <f t="shared" si="137"/>
        <v>04</v>
      </c>
    </row>
    <row r="1704" spans="1:13">
      <c r="A1704" t="str">
        <f t="shared" si="133"/>
        <v>広島修道大学3377女</v>
      </c>
      <c r="B1704" s="150" t="s">
        <v>2033</v>
      </c>
      <c r="C1704" s="150">
        <v>3377</v>
      </c>
      <c r="D1704" s="150" t="s">
        <v>4383</v>
      </c>
      <c r="E1704" s="150" t="s">
        <v>4776</v>
      </c>
      <c r="F1704" s="150" t="s">
        <v>280</v>
      </c>
      <c r="G1704" s="149" t="s">
        <v>145</v>
      </c>
      <c r="H1704" s="151" t="str">
        <f t="shared" si="134"/>
        <v>1996/06/28</v>
      </c>
      <c r="I1704" s="150" t="s">
        <v>295</v>
      </c>
      <c r="J1704" s="150" t="s">
        <v>4855</v>
      </c>
      <c r="K1704" s="101" t="str">
        <f t="shared" ref="K1704:K1722" si="138">MID(J1704,1,2)</f>
        <v>96</v>
      </c>
      <c r="L1704" s="101" t="str">
        <f t="shared" ref="L1704:L1722" si="139">MID(J1704,3,2)</f>
        <v>06</v>
      </c>
      <c r="M1704" s="101" t="str">
        <f t="shared" ref="M1704:M1722" si="140">MID(J1704,5,2)</f>
        <v>28</v>
      </c>
    </row>
    <row r="1705" spans="1:13">
      <c r="A1705" t="str">
        <f t="shared" si="133"/>
        <v>香川大学3378女</v>
      </c>
      <c r="B1705" s="150" t="s">
        <v>1895</v>
      </c>
      <c r="C1705" s="150">
        <v>3378</v>
      </c>
      <c r="D1705" s="150" t="s">
        <v>4384</v>
      </c>
      <c r="E1705" s="150" t="s">
        <v>4777</v>
      </c>
      <c r="F1705" s="150" t="s">
        <v>280</v>
      </c>
      <c r="G1705" s="149" t="s">
        <v>145</v>
      </c>
      <c r="H1705" s="151" t="str">
        <f t="shared" si="134"/>
        <v>1996/11/20</v>
      </c>
      <c r="I1705" s="150" t="s">
        <v>289</v>
      </c>
      <c r="J1705" s="150" t="s">
        <v>4856</v>
      </c>
      <c r="K1705" s="101" t="str">
        <f t="shared" si="138"/>
        <v>96</v>
      </c>
      <c r="L1705" s="101" t="str">
        <f t="shared" si="139"/>
        <v>11</v>
      </c>
      <c r="M1705" s="101" t="str">
        <f t="shared" si="140"/>
        <v>20</v>
      </c>
    </row>
    <row r="1706" spans="1:13">
      <c r="A1706" t="str">
        <f t="shared" si="133"/>
        <v>鳴門教育大学3379女</v>
      </c>
      <c r="B1706" s="150" t="s">
        <v>2088</v>
      </c>
      <c r="C1706" s="150">
        <v>3379</v>
      </c>
      <c r="D1706" s="150" t="s">
        <v>4385</v>
      </c>
      <c r="E1706" s="150" t="s">
        <v>4778</v>
      </c>
      <c r="F1706" s="150" t="s">
        <v>280</v>
      </c>
      <c r="G1706" s="149" t="s">
        <v>145</v>
      </c>
      <c r="H1706" s="151" t="str">
        <f t="shared" si="134"/>
        <v>1996/05/03</v>
      </c>
      <c r="I1706" s="150" t="s">
        <v>276</v>
      </c>
      <c r="J1706" s="150" t="s">
        <v>3953</v>
      </c>
      <c r="K1706" s="101" t="str">
        <f t="shared" si="138"/>
        <v>96</v>
      </c>
      <c r="L1706" s="101" t="str">
        <f t="shared" si="139"/>
        <v>05</v>
      </c>
      <c r="M1706" s="101" t="str">
        <f t="shared" si="140"/>
        <v>03</v>
      </c>
    </row>
    <row r="1707" spans="1:13">
      <c r="A1707" t="str">
        <f t="shared" si="133"/>
        <v>山口大学3380女</v>
      </c>
      <c r="B1707" s="150" t="s">
        <v>1311</v>
      </c>
      <c r="C1707" s="150">
        <v>3380</v>
      </c>
      <c r="D1707" s="150" t="s">
        <v>4386</v>
      </c>
      <c r="E1707" s="150" t="s">
        <v>4779</v>
      </c>
      <c r="F1707" s="150" t="s">
        <v>280</v>
      </c>
      <c r="G1707" s="149" t="s">
        <v>145</v>
      </c>
      <c r="H1707" s="151" t="str">
        <f t="shared" si="134"/>
        <v>1996/11/29</v>
      </c>
      <c r="I1707" s="150" t="s">
        <v>269</v>
      </c>
      <c r="J1707" s="150" t="s">
        <v>745</v>
      </c>
      <c r="K1707" s="101" t="str">
        <f t="shared" si="138"/>
        <v>96</v>
      </c>
      <c r="L1707" s="101" t="str">
        <f t="shared" si="139"/>
        <v>11</v>
      </c>
      <c r="M1707" s="101" t="str">
        <f t="shared" si="140"/>
        <v>29</v>
      </c>
    </row>
    <row r="1708" spans="1:13">
      <c r="A1708" t="str">
        <f t="shared" si="133"/>
        <v>山口大学3381女</v>
      </c>
      <c r="B1708" s="150" t="s">
        <v>1311</v>
      </c>
      <c r="C1708" s="150">
        <v>3381</v>
      </c>
      <c r="D1708" s="150" t="s">
        <v>4387</v>
      </c>
      <c r="E1708" s="150" t="s">
        <v>4780</v>
      </c>
      <c r="F1708" s="150" t="s">
        <v>280</v>
      </c>
      <c r="G1708" s="149" t="s">
        <v>145</v>
      </c>
      <c r="H1708" s="151" t="str">
        <f t="shared" si="134"/>
        <v>1996/04/17</v>
      </c>
      <c r="I1708" s="150" t="s">
        <v>269</v>
      </c>
      <c r="J1708" s="150" t="s">
        <v>649</v>
      </c>
      <c r="K1708" s="101" t="str">
        <f t="shared" si="138"/>
        <v>96</v>
      </c>
      <c r="L1708" s="101" t="str">
        <f t="shared" si="139"/>
        <v>04</v>
      </c>
      <c r="M1708" s="101" t="str">
        <f t="shared" si="140"/>
        <v>17</v>
      </c>
    </row>
    <row r="1709" spans="1:13">
      <c r="A1709" t="str">
        <f t="shared" si="133"/>
        <v>県立広島大学3382女</v>
      </c>
      <c r="B1709" s="150" t="s">
        <v>3565</v>
      </c>
      <c r="C1709" s="150">
        <v>3382</v>
      </c>
      <c r="D1709" s="150" t="s">
        <v>4388</v>
      </c>
      <c r="E1709" s="150" t="s">
        <v>4781</v>
      </c>
      <c r="F1709" s="150" t="s">
        <v>265</v>
      </c>
      <c r="G1709" s="149" t="s">
        <v>145</v>
      </c>
      <c r="H1709" s="151" t="str">
        <f t="shared" si="134"/>
        <v>1993/10/22</v>
      </c>
      <c r="I1709" s="150" t="s">
        <v>295</v>
      </c>
      <c r="J1709" s="150" t="s">
        <v>557</v>
      </c>
      <c r="K1709" s="101" t="str">
        <f t="shared" si="138"/>
        <v>93</v>
      </c>
      <c r="L1709" s="101" t="str">
        <f t="shared" si="139"/>
        <v>10</v>
      </c>
      <c r="M1709" s="101" t="str">
        <f t="shared" si="140"/>
        <v>22</v>
      </c>
    </row>
    <row r="1710" spans="1:13">
      <c r="A1710" t="str">
        <f t="shared" si="133"/>
        <v>県立広島大学3383女</v>
      </c>
      <c r="B1710" s="150" t="s">
        <v>3565</v>
      </c>
      <c r="C1710" s="150">
        <v>3383</v>
      </c>
      <c r="D1710" s="150" t="s">
        <v>4389</v>
      </c>
      <c r="E1710" s="150" t="s">
        <v>4782</v>
      </c>
      <c r="F1710" s="150" t="s">
        <v>280</v>
      </c>
      <c r="G1710" s="149" t="s">
        <v>145</v>
      </c>
      <c r="H1710" s="151" t="str">
        <f t="shared" si="134"/>
        <v>1996/08/08</v>
      </c>
      <c r="I1710" s="150" t="s">
        <v>295</v>
      </c>
      <c r="J1710" s="150" t="s">
        <v>905</v>
      </c>
      <c r="K1710" s="101" t="str">
        <f t="shared" si="138"/>
        <v>96</v>
      </c>
      <c r="L1710" s="101" t="str">
        <f t="shared" si="139"/>
        <v>08</v>
      </c>
      <c r="M1710" s="101" t="str">
        <f t="shared" si="140"/>
        <v>08</v>
      </c>
    </row>
    <row r="1711" spans="1:13">
      <c r="A1711" t="str">
        <f t="shared" si="133"/>
        <v>広島大学3384女</v>
      </c>
      <c r="B1711" s="150" t="s">
        <v>1364</v>
      </c>
      <c r="C1711" s="150">
        <v>3384</v>
      </c>
      <c r="D1711" s="150" t="s">
        <v>4390</v>
      </c>
      <c r="E1711" s="150" t="s">
        <v>4783</v>
      </c>
      <c r="F1711" s="150" t="s">
        <v>260</v>
      </c>
      <c r="G1711" s="149" t="s">
        <v>145</v>
      </c>
      <c r="H1711" s="151" t="str">
        <f t="shared" si="134"/>
        <v>1993/04/25</v>
      </c>
      <c r="I1711" s="150" t="s">
        <v>295</v>
      </c>
      <c r="J1711" s="150" t="s">
        <v>372</v>
      </c>
      <c r="K1711" s="101" t="str">
        <f t="shared" si="138"/>
        <v>93</v>
      </c>
      <c r="L1711" s="101" t="str">
        <f t="shared" si="139"/>
        <v>04</v>
      </c>
      <c r="M1711" s="101" t="str">
        <f t="shared" si="140"/>
        <v>25</v>
      </c>
    </row>
    <row r="1712" spans="1:13">
      <c r="A1712" t="str">
        <f t="shared" si="133"/>
        <v>広島大学3385女</v>
      </c>
      <c r="B1712" s="150" t="s">
        <v>1364</v>
      </c>
      <c r="C1712" s="150">
        <v>3385</v>
      </c>
      <c r="D1712" s="150" t="s">
        <v>4391</v>
      </c>
      <c r="E1712" s="150" t="s">
        <v>4784</v>
      </c>
      <c r="F1712" s="150" t="s">
        <v>280</v>
      </c>
      <c r="G1712" s="149" t="s">
        <v>145</v>
      </c>
      <c r="H1712" s="151" t="str">
        <f t="shared" si="134"/>
        <v>1996/04/28</v>
      </c>
      <c r="I1712" s="150" t="s">
        <v>295</v>
      </c>
      <c r="J1712" s="150" t="s">
        <v>726</v>
      </c>
      <c r="K1712" s="101" t="str">
        <f t="shared" si="138"/>
        <v>96</v>
      </c>
      <c r="L1712" s="101" t="str">
        <f t="shared" si="139"/>
        <v>04</v>
      </c>
      <c r="M1712" s="101" t="str">
        <f t="shared" si="140"/>
        <v>28</v>
      </c>
    </row>
    <row r="1713" spans="1:13">
      <c r="A1713" t="str">
        <f t="shared" si="133"/>
        <v>広島大学3386女</v>
      </c>
      <c r="B1713" s="150" t="s">
        <v>1364</v>
      </c>
      <c r="C1713" s="150">
        <v>3386</v>
      </c>
      <c r="D1713" s="150" t="s">
        <v>4392</v>
      </c>
      <c r="E1713" s="150" t="s">
        <v>4785</v>
      </c>
      <c r="F1713" s="150" t="s">
        <v>280</v>
      </c>
      <c r="G1713" s="149" t="s">
        <v>145</v>
      </c>
      <c r="H1713" s="151" t="str">
        <f t="shared" si="134"/>
        <v>1996/07/25</v>
      </c>
      <c r="I1713" s="150" t="s">
        <v>295</v>
      </c>
      <c r="J1713" s="150" t="s">
        <v>767</v>
      </c>
      <c r="K1713" s="101" t="str">
        <f t="shared" si="138"/>
        <v>96</v>
      </c>
      <c r="L1713" s="101" t="str">
        <f t="shared" si="139"/>
        <v>07</v>
      </c>
      <c r="M1713" s="101" t="str">
        <f t="shared" si="140"/>
        <v>25</v>
      </c>
    </row>
    <row r="1714" spans="1:13">
      <c r="A1714" t="str">
        <f t="shared" si="133"/>
        <v>広島大学3387女</v>
      </c>
      <c r="B1714" s="150" t="s">
        <v>1364</v>
      </c>
      <c r="C1714" s="150">
        <v>3387</v>
      </c>
      <c r="D1714" s="150" t="s">
        <v>4393</v>
      </c>
      <c r="E1714" s="150" t="s">
        <v>4786</v>
      </c>
      <c r="F1714" s="150" t="s">
        <v>267</v>
      </c>
      <c r="G1714" s="149" t="s">
        <v>145</v>
      </c>
      <c r="H1714" s="151" t="str">
        <f t="shared" si="134"/>
        <v>1996/03/05</v>
      </c>
      <c r="I1714" s="150" t="s">
        <v>295</v>
      </c>
      <c r="J1714" s="150" t="s">
        <v>619</v>
      </c>
      <c r="K1714" s="101" t="str">
        <f t="shared" si="138"/>
        <v>96</v>
      </c>
      <c r="L1714" s="101" t="str">
        <f t="shared" si="139"/>
        <v>03</v>
      </c>
      <c r="M1714" s="101" t="str">
        <f t="shared" si="140"/>
        <v>05</v>
      </c>
    </row>
    <row r="1715" spans="1:13">
      <c r="A1715" t="str">
        <f t="shared" si="133"/>
        <v>広島大学3388女</v>
      </c>
      <c r="B1715" s="150" t="s">
        <v>1364</v>
      </c>
      <c r="C1715" s="150">
        <v>3388</v>
      </c>
      <c r="D1715" s="150" t="s">
        <v>4394</v>
      </c>
      <c r="E1715" s="150" t="s">
        <v>4787</v>
      </c>
      <c r="F1715" s="150" t="s">
        <v>280</v>
      </c>
      <c r="G1715" s="149" t="s">
        <v>145</v>
      </c>
      <c r="H1715" s="151" t="str">
        <f t="shared" si="134"/>
        <v>1995/10/27</v>
      </c>
      <c r="I1715" s="150" t="s">
        <v>295</v>
      </c>
      <c r="J1715" s="150" t="s">
        <v>786</v>
      </c>
      <c r="K1715" s="101" t="str">
        <f t="shared" si="138"/>
        <v>95</v>
      </c>
      <c r="L1715" s="101" t="str">
        <f t="shared" si="139"/>
        <v>10</v>
      </c>
      <c r="M1715" s="101" t="str">
        <f t="shared" si="140"/>
        <v>27</v>
      </c>
    </row>
    <row r="1716" spans="1:13">
      <c r="A1716" t="str">
        <f t="shared" si="133"/>
        <v>広島大学3389女</v>
      </c>
      <c r="B1716" s="150" t="s">
        <v>1364</v>
      </c>
      <c r="C1716" s="150">
        <v>3389</v>
      </c>
      <c r="D1716" s="150" t="s">
        <v>4395</v>
      </c>
      <c r="E1716" s="150" t="s">
        <v>4788</v>
      </c>
      <c r="F1716" s="150" t="s">
        <v>280</v>
      </c>
      <c r="G1716" s="149" t="s">
        <v>145</v>
      </c>
      <c r="H1716" s="151" t="str">
        <f t="shared" si="134"/>
        <v>1996/08/28</v>
      </c>
      <c r="I1716" s="150" t="s">
        <v>295</v>
      </c>
      <c r="J1716" s="150" t="s">
        <v>821</v>
      </c>
      <c r="K1716" s="101" t="str">
        <f t="shared" si="138"/>
        <v>96</v>
      </c>
      <c r="L1716" s="101" t="str">
        <f t="shared" si="139"/>
        <v>08</v>
      </c>
      <c r="M1716" s="101" t="str">
        <f t="shared" si="140"/>
        <v>28</v>
      </c>
    </row>
    <row r="1717" spans="1:13">
      <c r="A1717" t="str">
        <f t="shared" si="133"/>
        <v>広島大学3390女</v>
      </c>
      <c r="B1717" s="150" t="s">
        <v>1364</v>
      </c>
      <c r="C1717" s="150">
        <v>3390</v>
      </c>
      <c r="D1717" s="150" t="s">
        <v>4396</v>
      </c>
      <c r="E1717" s="150" t="s">
        <v>4789</v>
      </c>
      <c r="F1717" s="150" t="s">
        <v>280</v>
      </c>
      <c r="G1717" s="149" t="s">
        <v>145</v>
      </c>
      <c r="H1717" s="151" t="str">
        <f t="shared" si="134"/>
        <v>1996/07/08</v>
      </c>
      <c r="I1717" s="150" t="s">
        <v>295</v>
      </c>
      <c r="J1717" s="150" t="s">
        <v>3959</v>
      </c>
      <c r="K1717" s="101" t="str">
        <f t="shared" si="138"/>
        <v>96</v>
      </c>
      <c r="L1717" s="101" t="str">
        <f t="shared" si="139"/>
        <v>07</v>
      </c>
      <c r="M1717" s="101" t="str">
        <f t="shared" si="140"/>
        <v>08</v>
      </c>
    </row>
    <row r="1718" spans="1:13">
      <c r="A1718" t="str">
        <f t="shared" si="133"/>
        <v>広島大学3391女</v>
      </c>
      <c r="B1718" s="150" t="s">
        <v>1364</v>
      </c>
      <c r="C1718" s="150">
        <v>3391</v>
      </c>
      <c r="D1718" s="150" t="s">
        <v>4397</v>
      </c>
      <c r="E1718" s="150" t="s">
        <v>4790</v>
      </c>
      <c r="F1718" s="150" t="s">
        <v>280</v>
      </c>
      <c r="G1718" s="149" t="s">
        <v>145</v>
      </c>
      <c r="H1718" s="151" t="str">
        <f t="shared" si="134"/>
        <v>1995/07/16</v>
      </c>
      <c r="I1718" s="150" t="s">
        <v>295</v>
      </c>
      <c r="J1718" s="150" t="s">
        <v>361</v>
      </c>
      <c r="K1718" s="101" t="str">
        <f t="shared" si="138"/>
        <v>95</v>
      </c>
      <c r="L1718" s="101" t="str">
        <f t="shared" si="139"/>
        <v>07</v>
      </c>
      <c r="M1718" s="101" t="str">
        <f t="shared" si="140"/>
        <v>16</v>
      </c>
    </row>
    <row r="1719" spans="1:13">
      <c r="A1719" t="str">
        <f t="shared" si="133"/>
        <v>広島大学3392女</v>
      </c>
      <c r="B1719" s="150" t="s">
        <v>1364</v>
      </c>
      <c r="C1719" s="150">
        <v>3392</v>
      </c>
      <c r="D1719" s="150" t="s">
        <v>4398</v>
      </c>
      <c r="E1719" s="150" t="s">
        <v>4791</v>
      </c>
      <c r="F1719" s="150" t="s">
        <v>280</v>
      </c>
      <c r="G1719" s="149" t="s">
        <v>145</v>
      </c>
      <c r="H1719" s="151" t="str">
        <f t="shared" si="134"/>
        <v>1996/06/10</v>
      </c>
      <c r="I1719" s="150" t="s">
        <v>295</v>
      </c>
      <c r="J1719" s="150" t="s">
        <v>3963</v>
      </c>
      <c r="K1719" s="101" t="str">
        <f t="shared" si="138"/>
        <v>96</v>
      </c>
      <c r="L1719" s="101" t="str">
        <f t="shared" si="139"/>
        <v>06</v>
      </c>
      <c r="M1719" s="101" t="str">
        <f t="shared" si="140"/>
        <v>10</v>
      </c>
    </row>
    <row r="1720" spans="1:13">
      <c r="A1720" t="str">
        <f t="shared" si="133"/>
        <v>島根大学3393女</v>
      </c>
      <c r="B1720" s="150" t="s">
        <v>1062</v>
      </c>
      <c r="C1720" s="150">
        <v>3393</v>
      </c>
      <c r="D1720" s="150" t="s">
        <v>4399</v>
      </c>
      <c r="E1720" s="150" t="s">
        <v>4792</v>
      </c>
      <c r="F1720" s="150" t="s">
        <v>280</v>
      </c>
      <c r="G1720" s="149" t="s">
        <v>145</v>
      </c>
      <c r="H1720" s="151" t="str">
        <f t="shared" si="134"/>
        <v>1996/07/11</v>
      </c>
      <c r="I1720" s="150" t="s">
        <v>301</v>
      </c>
      <c r="J1720" s="150" t="s">
        <v>926</v>
      </c>
      <c r="K1720" s="101" t="str">
        <f t="shared" si="138"/>
        <v>96</v>
      </c>
      <c r="L1720" s="101" t="str">
        <f t="shared" si="139"/>
        <v>07</v>
      </c>
      <c r="M1720" s="101" t="str">
        <f t="shared" si="140"/>
        <v>11</v>
      </c>
    </row>
    <row r="1721" spans="1:13">
      <c r="A1721" t="str">
        <f t="shared" si="133"/>
        <v>島根大学3394女</v>
      </c>
      <c r="B1721" s="150" t="s">
        <v>1062</v>
      </c>
      <c r="C1721" s="150">
        <v>3394</v>
      </c>
      <c r="D1721" s="150" t="s">
        <v>4400</v>
      </c>
      <c r="E1721" s="150" t="s">
        <v>4793</v>
      </c>
      <c r="F1721" s="150" t="s">
        <v>293</v>
      </c>
      <c r="G1721" s="149" t="s">
        <v>145</v>
      </c>
      <c r="H1721" s="151" t="str">
        <f t="shared" si="134"/>
        <v>1993/02/23</v>
      </c>
      <c r="I1721" s="150" t="s">
        <v>301</v>
      </c>
      <c r="J1721" s="150" t="s">
        <v>933</v>
      </c>
      <c r="K1721" s="101" t="str">
        <f t="shared" si="138"/>
        <v>93</v>
      </c>
      <c r="L1721" s="101" t="str">
        <f t="shared" si="139"/>
        <v>02</v>
      </c>
      <c r="M1721" s="101" t="str">
        <f t="shared" si="140"/>
        <v>23</v>
      </c>
    </row>
    <row r="1722" spans="1:13">
      <c r="A1722" t="str">
        <f t="shared" si="133"/>
        <v>美作大学3395女</v>
      </c>
      <c r="B1722" s="150" t="s">
        <v>1727</v>
      </c>
      <c r="C1722" s="150">
        <v>3395</v>
      </c>
      <c r="D1722" s="150" t="s">
        <v>4401</v>
      </c>
      <c r="E1722" s="150" t="s">
        <v>4794</v>
      </c>
      <c r="F1722" s="150" t="s">
        <v>280</v>
      </c>
      <c r="G1722" s="149" t="s">
        <v>145</v>
      </c>
      <c r="H1722" s="151" t="str">
        <f t="shared" si="134"/>
        <v>1996/09/16</v>
      </c>
      <c r="I1722" s="150" t="s">
        <v>302</v>
      </c>
      <c r="J1722" s="150" t="s">
        <v>3937</v>
      </c>
      <c r="K1722" s="101" t="str">
        <f t="shared" si="138"/>
        <v>96</v>
      </c>
      <c r="L1722" s="101" t="str">
        <f t="shared" si="139"/>
        <v>09</v>
      </c>
      <c r="M1722" s="101" t="str">
        <f t="shared" si="140"/>
        <v>16</v>
      </c>
    </row>
    <row r="1723" spans="1:13">
      <c r="A1723" t="str">
        <f t="shared" si="133"/>
        <v>就実大学3396女</v>
      </c>
      <c r="B1723" s="427" t="s">
        <v>3074</v>
      </c>
      <c r="C1723" s="427">
        <v>3396</v>
      </c>
      <c r="D1723" s="427" t="s">
        <v>4860</v>
      </c>
      <c r="E1723" s="427" t="s">
        <v>4864</v>
      </c>
      <c r="F1723" s="427" t="s">
        <v>280</v>
      </c>
      <c r="G1723" s="149" t="s">
        <v>145</v>
      </c>
      <c r="H1723" s="151" t="str">
        <f t="shared" si="134"/>
        <v>1996/09/05</v>
      </c>
      <c r="I1723" s="427" t="s">
        <v>299</v>
      </c>
      <c r="J1723" s="427" t="s">
        <v>3912</v>
      </c>
      <c r="K1723" s="101" t="str">
        <f t="shared" ref="K1723:K1726" si="141">MID(J1723,1,2)</f>
        <v>96</v>
      </c>
      <c r="L1723" s="101" t="str">
        <f t="shared" ref="L1723:L1726" si="142">MID(J1723,3,2)</f>
        <v>09</v>
      </c>
      <c r="M1723" s="101" t="str">
        <f t="shared" ref="M1723:M1726" si="143">MID(J1723,5,2)</f>
        <v>05</v>
      </c>
    </row>
    <row r="1724" spans="1:13">
      <c r="A1724" t="str">
        <f t="shared" si="133"/>
        <v>就実大学3397女</v>
      </c>
      <c r="B1724" s="427" t="s">
        <v>3074</v>
      </c>
      <c r="C1724" s="427">
        <v>3397</v>
      </c>
      <c r="D1724" s="427" t="s">
        <v>4861</v>
      </c>
      <c r="E1724" s="427" t="s">
        <v>4865</v>
      </c>
      <c r="F1724" s="427" t="s">
        <v>280</v>
      </c>
      <c r="G1724" s="149" t="s">
        <v>145</v>
      </c>
      <c r="H1724" s="151" t="str">
        <f t="shared" si="134"/>
        <v>1996/09/06</v>
      </c>
      <c r="I1724" s="427" t="s">
        <v>299</v>
      </c>
      <c r="J1724" s="427" t="s">
        <v>698</v>
      </c>
      <c r="K1724" s="101" t="str">
        <f t="shared" si="141"/>
        <v>96</v>
      </c>
      <c r="L1724" s="101" t="str">
        <f t="shared" si="142"/>
        <v>09</v>
      </c>
      <c r="M1724" s="101" t="str">
        <f t="shared" si="143"/>
        <v>06</v>
      </c>
    </row>
    <row r="1725" spans="1:13">
      <c r="A1725" t="str">
        <f t="shared" si="133"/>
        <v>就実大学3398女</v>
      </c>
      <c r="B1725" s="427" t="s">
        <v>3074</v>
      </c>
      <c r="C1725" s="427">
        <v>3398</v>
      </c>
      <c r="D1725" s="427" t="s">
        <v>4862</v>
      </c>
      <c r="E1725" s="427" t="s">
        <v>4866</v>
      </c>
      <c r="F1725" s="427" t="s">
        <v>280</v>
      </c>
      <c r="G1725" s="149" t="s">
        <v>145</v>
      </c>
      <c r="H1725" s="151" t="str">
        <f t="shared" si="134"/>
        <v>1996/04/15</v>
      </c>
      <c r="I1725" s="427" t="s">
        <v>299</v>
      </c>
      <c r="J1725" s="427" t="s">
        <v>4868</v>
      </c>
      <c r="K1725" s="101" t="str">
        <f t="shared" si="141"/>
        <v>96</v>
      </c>
      <c r="L1725" s="101" t="str">
        <f t="shared" si="142"/>
        <v>04</v>
      </c>
      <c r="M1725" s="101" t="str">
        <f t="shared" si="143"/>
        <v>15</v>
      </c>
    </row>
    <row r="1726" spans="1:13">
      <c r="A1726" t="str">
        <f t="shared" si="133"/>
        <v>就実大学3399女</v>
      </c>
      <c r="B1726" s="427" t="s">
        <v>3074</v>
      </c>
      <c r="C1726" s="427">
        <v>3399</v>
      </c>
      <c r="D1726" s="427" t="s">
        <v>4863</v>
      </c>
      <c r="E1726" s="427" t="s">
        <v>4867</v>
      </c>
      <c r="F1726" s="427" t="s">
        <v>280</v>
      </c>
      <c r="G1726" s="149" t="s">
        <v>145</v>
      </c>
      <c r="H1726" s="151" t="str">
        <f t="shared" si="134"/>
        <v>1996/12/30</v>
      </c>
      <c r="I1726" s="427" t="s">
        <v>299</v>
      </c>
      <c r="J1726" s="427" t="s">
        <v>766</v>
      </c>
      <c r="K1726" s="101" t="str">
        <f t="shared" si="141"/>
        <v>96</v>
      </c>
      <c r="L1726" s="101" t="str">
        <f t="shared" si="142"/>
        <v>12</v>
      </c>
      <c r="M1726" s="101" t="str">
        <f t="shared" si="143"/>
        <v>30</v>
      </c>
    </row>
    <row r="1727" spans="1:13">
      <c r="A1727" t="str">
        <f t="shared" si="133"/>
        <v/>
      </c>
      <c r="B1727" s="150"/>
      <c r="C1727" s="150"/>
      <c r="D1727" s="150"/>
      <c r="E1727" s="150"/>
      <c r="F1727" s="150"/>
      <c r="G1727" s="150"/>
      <c r="H1727" s="151"/>
      <c r="I1727" s="150"/>
      <c r="J1727" s="152"/>
    </row>
    <row r="1728" spans="1:13">
      <c r="A1728" t="str">
        <f t="shared" si="133"/>
        <v/>
      </c>
      <c r="B1728" s="150"/>
      <c r="C1728" s="150"/>
      <c r="D1728" s="150"/>
      <c r="E1728" s="150"/>
      <c r="F1728" s="150"/>
      <c r="G1728" s="150"/>
      <c r="H1728" s="151"/>
      <c r="I1728" s="150"/>
      <c r="J1728" s="152"/>
    </row>
    <row r="1729" spans="1:10">
      <c r="A1729" t="str">
        <f t="shared" si="133"/>
        <v/>
      </c>
      <c r="B1729" s="150"/>
      <c r="C1729" s="150"/>
      <c r="D1729" s="150"/>
      <c r="E1729" s="150"/>
      <c r="F1729" s="150"/>
      <c r="G1729" s="150"/>
      <c r="H1729" s="151"/>
      <c r="I1729" s="150"/>
      <c r="J1729" s="152"/>
    </row>
    <row r="1730" spans="1:10">
      <c r="A1730" t="str">
        <f t="shared" ref="A1730:A1793" si="144">B1730&amp;C1730&amp;G1730</f>
        <v/>
      </c>
      <c r="B1730" s="150"/>
      <c r="C1730" s="150"/>
      <c r="D1730" s="150"/>
      <c r="E1730" s="150"/>
      <c r="F1730" s="150"/>
      <c r="G1730" s="150"/>
      <c r="H1730" s="151"/>
      <c r="I1730" s="150"/>
      <c r="J1730" s="152"/>
    </row>
    <row r="1731" spans="1:10">
      <c r="A1731" t="str">
        <f t="shared" si="144"/>
        <v/>
      </c>
      <c r="B1731" s="150"/>
      <c r="C1731" s="150"/>
      <c r="D1731" s="150"/>
      <c r="E1731" s="150"/>
      <c r="F1731" s="150"/>
      <c r="G1731" s="150"/>
      <c r="H1731" s="151"/>
      <c r="I1731" s="150"/>
      <c r="J1731" s="152"/>
    </row>
    <row r="1732" spans="1:10">
      <c r="A1732" t="str">
        <f t="shared" si="144"/>
        <v/>
      </c>
      <c r="B1732" s="150"/>
      <c r="C1732" s="150"/>
      <c r="D1732" s="150"/>
      <c r="E1732" s="150"/>
      <c r="F1732" s="150"/>
      <c r="G1732" s="150"/>
      <c r="H1732" s="151"/>
      <c r="I1732" s="150"/>
      <c r="J1732" s="152"/>
    </row>
    <row r="1733" spans="1:10">
      <c r="A1733" t="str">
        <f t="shared" si="144"/>
        <v/>
      </c>
      <c r="B1733" s="150"/>
      <c r="C1733" s="150"/>
      <c r="D1733" s="150"/>
      <c r="E1733" s="150"/>
      <c r="F1733" s="150"/>
      <c r="G1733" s="150"/>
      <c r="H1733" s="151"/>
      <c r="I1733" s="150"/>
      <c r="J1733" s="152"/>
    </row>
    <row r="1734" spans="1:10">
      <c r="A1734" t="str">
        <f t="shared" si="144"/>
        <v/>
      </c>
      <c r="B1734" s="150"/>
      <c r="C1734" s="150"/>
      <c r="D1734" s="150"/>
      <c r="E1734" s="150"/>
      <c r="F1734" s="150"/>
      <c r="G1734" s="150"/>
      <c r="H1734" s="151"/>
      <c r="I1734" s="150"/>
      <c r="J1734" s="152"/>
    </row>
    <row r="1735" spans="1:10">
      <c r="A1735" t="str">
        <f t="shared" si="144"/>
        <v/>
      </c>
      <c r="B1735" s="150"/>
      <c r="C1735" s="150"/>
      <c r="D1735" s="150"/>
      <c r="E1735" s="150"/>
      <c r="F1735" s="150"/>
      <c r="G1735" s="150"/>
      <c r="H1735" s="151"/>
      <c r="I1735" s="150"/>
      <c r="J1735" s="152"/>
    </row>
    <row r="1736" spans="1:10">
      <c r="A1736" t="str">
        <f t="shared" si="144"/>
        <v/>
      </c>
      <c r="B1736" s="150"/>
      <c r="C1736" s="150"/>
      <c r="D1736" s="150"/>
      <c r="E1736" s="150"/>
      <c r="F1736" s="150"/>
      <c r="G1736" s="150"/>
      <c r="H1736" s="151"/>
      <c r="I1736" s="150"/>
      <c r="J1736" s="152"/>
    </row>
    <row r="1737" spans="1:10">
      <c r="A1737" t="str">
        <f t="shared" si="144"/>
        <v/>
      </c>
      <c r="B1737" s="150"/>
      <c r="C1737" s="150"/>
      <c r="D1737" s="150"/>
      <c r="E1737" s="150"/>
      <c r="F1737" s="150"/>
      <c r="G1737" s="150"/>
      <c r="H1737" s="151"/>
      <c r="I1737" s="150"/>
      <c r="J1737" s="152"/>
    </row>
    <row r="1738" spans="1:10">
      <c r="A1738" t="str">
        <f t="shared" si="144"/>
        <v/>
      </c>
      <c r="B1738" s="150"/>
      <c r="C1738" s="150"/>
      <c r="D1738" s="150"/>
      <c r="E1738" s="150"/>
      <c r="F1738" s="150"/>
      <c r="G1738" s="150"/>
      <c r="H1738" s="151"/>
      <c r="I1738" s="150"/>
      <c r="J1738" s="152"/>
    </row>
    <row r="1739" spans="1:10">
      <c r="A1739" t="str">
        <f t="shared" si="144"/>
        <v/>
      </c>
      <c r="B1739" s="150"/>
      <c r="C1739" s="150"/>
      <c r="D1739" s="150"/>
      <c r="E1739" s="150"/>
      <c r="F1739" s="150"/>
      <c r="G1739" s="150"/>
      <c r="H1739" s="151"/>
      <c r="I1739" s="150"/>
      <c r="J1739" s="152"/>
    </row>
    <row r="1740" spans="1:10">
      <c r="A1740" t="str">
        <f t="shared" si="144"/>
        <v/>
      </c>
      <c r="B1740" s="150"/>
      <c r="C1740" s="150"/>
      <c r="D1740" s="150"/>
      <c r="E1740" s="150"/>
      <c r="F1740" s="150"/>
      <c r="G1740" s="150"/>
      <c r="H1740" s="151"/>
      <c r="I1740" s="150"/>
      <c r="J1740" s="152"/>
    </row>
    <row r="1741" spans="1:10">
      <c r="A1741" t="str">
        <f t="shared" si="144"/>
        <v/>
      </c>
      <c r="B1741" s="150"/>
      <c r="C1741" s="150"/>
      <c r="D1741" s="150"/>
      <c r="E1741" s="150"/>
      <c r="F1741" s="150"/>
      <c r="G1741" s="150"/>
      <c r="H1741" s="151"/>
      <c r="I1741" s="150"/>
      <c r="J1741" s="152"/>
    </row>
    <row r="1742" spans="1:10">
      <c r="A1742" t="str">
        <f t="shared" si="144"/>
        <v/>
      </c>
      <c r="B1742" s="150"/>
      <c r="C1742" s="150"/>
      <c r="D1742" s="150"/>
      <c r="E1742" s="150"/>
      <c r="F1742" s="150"/>
      <c r="G1742" s="150"/>
      <c r="H1742" s="151"/>
      <c r="I1742" s="150"/>
      <c r="J1742" s="152"/>
    </row>
    <row r="1743" spans="1:10">
      <c r="A1743" t="str">
        <f t="shared" si="144"/>
        <v/>
      </c>
      <c r="B1743" s="150"/>
      <c r="C1743" s="150"/>
      <c r="D1743" s="150"/>
      <c r="E1743" s="150"/>
      <c r="F1743" s="150"/>
      <c r="G1743" s="150"/>
      <c r="H1743" s="151"/>
      <c r="I1743" s="150"/>
      <c r="J1743" s="152"/>
    </row>
    <row r="1744" spans="1:10">
      <c r="A1744" t="str">
        <f t="shared" si="144"/>
        <v/>
      </c>
      <c r="B1744" s="150"/>
      <c r="C1744" s="150"/>
      <c r="D1744" s="150"/>
      <c r="E1744" s="150"/>
      <c r="F1744" s="150"/>
      <c r="G1744" s="150"/>
      <c r="H1744" s="151"/>
      <c r="I1744" s="150"/>
      <c r="J1744" s="152"/>
    </row>
    <row r="1745" spans="1:10">
      <c r="A1745" t="str">
        <f t="shared" si="144"/>
        <v/>
      </c>
      <c r="B1745" s="150"/>
      <c r="C1745" s="150"/>
      <c r="D1745" s="150"/>
      <c r="E1745" s="150"/>
      <c r="F1745" s="150"/>
      <c r="G1745" s="150"/>
      <c r="H1745" s="151"/>
      <c r="I1745" s="150"/>
      <c r="J1745" s="152"/>
    </row>
    <row r="1746" spans="1:10">
      <c r="A1746" t="str">
        <f t="shared" si="144"/>
        <v/>
      </c>
      <c r="B1746" s="150"/>
      <c r="C1746" s="150"/>
      <c r="D1746" s="150"/>
      <c r="E1746" s="150"/>
      <c r="F1746" s="150"/>
      <c r="G1746" s="150"/>
      <c r="H1746" s="151"/>
      <c r="I1746" s="150"/>
      <c r="J1746" s="152"/>
    </row>
    <row r="1747" spans="1:10">
      <c r="A1747" t="str">
        <f t="shared" si="144"/>
        <v/>
      </c>
      <c r="B1747" s="150"/>
      <c r="C1747" s="150"/>
      <c r="D1747" s="150"/>
      <c r="E1747" s="150"/>
      <c r="F1747" s="150"/>
      <c r="G1747" s="150"/>
      <c r="H1747" s="151"/>
      <c r="I1747" s="150"/>
      <c r="J1747" s="152"/>
    </row>
    <row r="1748" spans="1:10">
      <c r="A1748" t="str">
        <f t="shared" si="144"/>
        <v/>
      </c>
      <c r="B1748" s="150"/>
      <c r="C1748" s="150"/>
      <c r="D1748" s="150"/>
      <c r="E1748" s="150"/>
      <c r="F1748" s="150"/>
      <c r="G1748" s="150"/>
      <c r="H1748" s="151"/>
      <c r="I1748" s="150"/>
      <c r="J1748" s="152"/>
    </row>
    <row r="1749" spans="1:10">
      <c r="A1749" t="str">
        <f t="shared" si="144"/>
        <v/>
      </c>
      <c r="B1749" s="150"/>
      <c r="C1749" s="150"/>
      <c r="D1749" s="150"/>
      <c r="E1749" s="150"/>
      <c r="F1749" s="150"/>
      <c r="G1749" s="150"/>
      <c r="H1749" s="151"/>
      <c r="I1749" s="150"/>
      <c r="J1749" s="152"/>
    </row>
    <row r="1750" spans="1:10">
      <c r="A1750" t="str">
        <f t="shared" si="144"/>
        <v/>
      </c>
      <c r="B1750" s="150"/>
      <c r="C1750" s="150"/>
      <c r="D1750" s="150"/>
      <c r="E1750" s="150"/>
      <c r="F1750" s="150"/>
      <c r="G1750" s="150"/>
      <c r="H1750" s="151"/>
      <c r="I1750" s="150"/>
      <c r="J1750" s="152"/>
    </row>
    <row r="1751" spans="1:10">
      <c r="A1751" t="str">
        <f t="shared" si="144"/>
        <v/>
      </c>
      <c r="B1751" s="150"/>
      <c r="C1751" s="150"/>
      <c r="D1751" s="150"/>
      <c r="E1751" s="150"/>
      <c r="F1751" s="150"/>
      <c r="G1751" s="150"/>
      <c r="H1751" s="151"/>
      <c r="I1751" s="150"/>
      <c r="J1751" s="152"/>
    </row>
    <row r="1752" spans="1:10">
      <c r="A1752" t="str">
        <f t="shared" si="144"/>
        <v/>
      </c>
      <c r="B1752" s="150"/>
      <c r="C1752" s="150"/>
      <c r="D1752" s="150"/>
      <c r="E1752" s="150"/>
      <c r="F1752" s="150"/>
      <c r="G1752" s="150"/>
      <c r="H1752" s="151"/>
      <c r="I1752" s="150"/>
      <c r="J1752" s="152"/>
    </row>
    <row r="1753" spans="1:10">
      <c r="A1753" t="str">
        <f t="shared" si="144"/>
        <v/>
      </c>
      <c r="B1753" s="150"/>
      <c r="C1753" s="150"/>
      <c r="D1753" s="150"/>
      <c r="E1753" s="150"/>
      <c r="F1753" s="150"/>
      <c r="G1753" s="150"/>
      <c r="H1753" s="151"/>
      <c r="I1753" s="150"/>
      <c r="J1753" s="152"/>
    </row>
    <row r="1754" spans="1:10">
      <c r="A1754" t="str">
        <f t="shared" si="144"/>
        <v/>
      </c>
      <c r="B1754" s="150"/>
      <c r="C1754" s="150"/>
      <c r="D1754" s="150"/>
      <c r="E1754" s="150"/>
      <c r="F1754" s="150"/>
      <c r="G1754" s="150"/>
      <c r="H1754" s="151"/>
      <c r="I1754" s="150"/>
      <c r="J1754" s="152"/>
    </row>
    <row r="1755" spans="1:10">
      <c r="A1755" t="str">
        <f t="shared" si="144"/>
        <v/>
      </c>
      <c r="B1755" s="150"/>
      <c r="C1755" s="150"/>
      <c r="D1755" s="150"/>
      <c r="E1755" s="150"/>
      <c r="F1755" s="150"/>
      <c r="G1755" s="150"/>
      <c r="H1755" s="151"/>
      <c r="I1755" s="150"/>
      <c r="J1755" s="152"/>
    </row>
    <row r="1756" spans="1:10">
      <c r="A1756" t="str">
        <f t="shared" si="144"/>
        <v/>
      </c>
      <c r="B1756" s="150"/>
      <c r="C1756" s="150"/>
      <c r="D1756" s="150"/>
      <c r="E1756" s="150"/>
      <c r="F1756" s="150"/>
      <c r="G1756" s="150"/>
      <c r="H1756" s="151"/>
      <c r="I1756" s="150"/>
      <c r="J1756" s="152"/>
    </row>
    <row r="1757" spans="1:10">
      <c r="A1757" t="str">
        <f t="shared" si="144"/>
        <v/>
      </c>
      <c r="B1757" s="150"/>
      <c r="C1757" s="150"/>
      <c r="D1757" s="150"/>
      <c r="E1757" s="150"/>
      <c r="F1757" s="150"/>
      <c r="G1757" s="150"/>
      <c r="H1757" s="151"/>
      <c r="I1757" s="150"/>
      <c r="J1757" s="152"/>
    </row>
    <row r="1758" spans="1:10">
      <c r="A1758" t="str">
        <f t="shared" si="144"/>
        <v/>
      </c>
      <c r="B1758" s="150"/>
      <c r="C1758" s="150"/>
      <c r="D1758" s="150"/>
      <c r="E1758" s="150"/>
      <c r="F1758" s="150"/>
      <c r="G1758" s="150"/>
      <c r="H1758" s="151"/>
      <c r="I1758" s="150"/>
      <c r="J1758" s="152"/>
    </row>
    <row r="1759" spans="1:10">
      <c r="A1759" t="str">
        <f t="shared" si="144"/>
        <v/>
      </c>
      <c r="B1759" s="150"/>
      <c r="C1759" s="150"/>
      <c r="D1759" s="150"/>
      <c r="E1759" s="150"/>
      <c r="F1759" s="150"/>
      <c r="G1759" s="150"/>
      <c r="H1759" s="151"/>
      <c r="I1759" s="150"/>
      <c r="J1759" s="152"/>
    </row>
    <row r="1760" spans="1:10">
      <c r="A1760" t="str">
        <f t="shared" si="144"/>
        <v/>
      </c>
      <c r="B1760" s="150"/>
      <c r="C1760" s="150"/>
      <c r="D1760" s="150"/>
      <c r="E1760" s="150"/>
      <c r="F1760" s="150"/>
      <c r="G1760" s="150"/>
      <c r="H1760" s="151"/>
      <c r="I1760" s="150"/>
      <c r="J1760" s="152"/>
    </row>
    <row r="1761" spans="1:10">
      <c r="A1761" t="str">
        <f t="shared" si="144"/>
        <v/>
      </c>
      <c r="B1761" s="150"/>
      <c r="C1761" s="150"/>
      <c r="D1761" s="150"/>
      <c r="E1761" s="150"/>
      <c r="F1761" s="150"/>
      <c r="G1761" s="150"/>
      <c r="H1761" s="151"/>
      <c r="I1761" s="150"/>
      <c r="J1761" s="152"/>
    </row>
    <row r="1762" spans="1:10">
      <c r="A1762" t="str">
        <f t="shared" si="144"/>
        <v/>
      </c>
      <c r="B1762" s="150"/>
      <c r="C1762" s="150"/>
      <c r="D1762" s="150"/>
      <c r="E1762" s="150"/>
      <c r="F1762" s="150"/>
      <c r="G1762" s="150"/>
      <c r="H1762" s="151"/>
      <c r="I1762" s="150"/>
      <c r="J1762" s="152"/>
    </row>
    <row r="1763" spans="1:10">
      <c r="A1763" t="str">
        <f t="shared" si="144"/>
        <v/>
      </c>
      <c r="B1763" s="150"/>
      <c r="C1763" s="150"/>
      <c r="D1763" s="150"/>
      <c r="E1763" s="150"/>
      <c r="F1763" s="150"/>
      <c r="G1763" s="150"/>
      <c r="H1763" s="151"/>
      <c r="I1763" s="150"/>
      <c r="J1763" s="152"/>
    </row>
    <row r="1764" spans="1:10">
      <c r="A1764" t="str">
        <f t="shared" si="144"/>
        <v/>
      </c>
      <c r="B1764" s="150"/>
      <c r="C1764" s="150"/>
      <c r="D1764" s="150"/>
      <c r="E1764" s="150"/>
      <c r="F1764" s="150"/>
      <c r="G1764" s="150"/>
      <c r="H1764" s="151"/>
      <c r="I1764" s="150"/>
      <c r="J1764" s="152"/>
    </row>
    <row r="1765" spans="1:10">
      <c r="A1765" t="str">
        <f t="shared" si="144"/>
        <v/>
      </c>
      <c r="B1765" s="150"/>
      <c r="C1765" s="150"/>
      <c r="D1765" s="150"/>
      <c r="E1765" s="150"/>
      <c r="F1765" s="150"/>
      <c r="G1765" s="150"/>
      <c r="H1765" s="151"/>
      <c r="I1765" s="150"/>
      <c r="J1765" s="152"/>
    </row>
    <row r="1766" spans="1:10">
      <c r="A1766" t="str">
        <f t="shared" si="144"/>
        <v/>
      </c>
      <c r="B1766" s="150"/>
      <c r="C1766" s="150"/>
      <c r="D1766" s="150"/>
      <c r="E1766" s="150"/>
      <c r="F1766" s="150"/>
      <c r="G1766" s="150"/>
      <c r="H1766" s="151"/>
      <c r="I1766" s="150"/>
      <c r="J1766" s="152"/>
    </row>
    <row r="1767" spans="1:10">
      <c r="A1767" t="str">
        <f t="shared" si="144"/>
        <v/>
      </c>
      <c r="B1767" s="150"/>
      <c r="C1767" s="150"/>
      <c r="D1767" s="150"/>
      <c r="E1767" s="150"/>
      <c r="F1767" s="150"/>
      <c r="G1767" s="150"/>
      <c r="H1767" s="151"/>
      <c r="I1767" s="150"/>
      <c r="J1767" s="152"/>
    </row>
    <row r="1768" spans="1:10">
      <c r="A1768" t="str">
        <f t="shared" si="144"/>
        <v/>
      </c>
      <c r="B1768" s="150"/>
      <c r="C1768" s="150"/>
      <c r="D1768" s="150"/>
      <c r="E1768" s="150"/>
      <c r="F1768" s="150"/>
      <c r="G1768" s="150"/>
      <c r="H1768" s="151"/>
      <c r="I1768" s="150"/>
      <c r="J1768" s="152"/>
    </row>
    <row r="1769" spans="1:10">
      <c r="A1769" t="str">
        <f t="shared" si="144"/>
        <v/>
      </c>
      <c r="B1769" s="150"/>
      <c r="C1769" s="150"/>
      <c r="D1769" s="150"/>
      <c r="E1769" s="150"/>
      <c r="F1769" s="150"/>
      <c r="G1769" s="150"/>
      <c r="H1769" s="151"/>
      <c r="I1769" s="150"/>
      <c r="J1769" s="152"/>
    </row>
    <row r="1770" spans="1:10">
      <c r="A1770" t="str">
        <f t="shared" si="144"/>
        <v/>
      </c>
      <c r="B1770" s="150"/>
      <c r="C1770" s="150"/>
      <c r="D1770" s="150"/>
      <c r="E1770" s="150"/>
      <c r="F1770" s="150"/>
      <c r="G1770" s="150"/>
      <c r="H1770" s="151"/>
      <c r="I1770" s="150"/>
      <c r="J1770" s="152"/>
    </row>
    <row r="1771" spans="1:10">
      <c r="A1771" t="str">
        <f t="shared" si="144"/>
        <v/>
      </c>
      <c r="B1771" s="150"/>
      <c r="C1771" s="150"/>
      <c r="D1771" s="150"/>
      <c r="E1771" s="150"/>
      <c r="F1771" s="150"/>
      <c r="G1771" s="150"/>
      <c r="H1771" s="151"/>
      <c r="I1771" s="150"/>
      <c r="J1771" s="152"/>
    </row>
    <row r="1772" spans="1:10">
      <c r="A1772" t="str">
        <f t="shared" si="144"/>
        <v/>
      </c>
      <c r="B1772" s="150"/>
      <c r="C1772" s="150"/>
      <c r="D1772" s="150"/>
      <c r="E1772" s="150"/>
      <c r="F1772" s="150"/>
      <c r="G1772" s="150"/>
      <c r="H1772" s="151"/>
      <c r="I1772" s="150"/>
      <c r="J1772" s="152"/>
    </row>
    <row r="1773" spans="1:10">
      <c r="A1773" t="str">
        <f t="shared" si="144"/>
        <v/>
      </c>
      <c r="B1773" s="150"/>
      <c r="C1773" s="150"/>
      <c r="D1773" s="150"/>
      <c r="E1773" s="150"/>
      <c r="F1773" s="150"/>
      <c r="G1773" s="150"/>
      <c r="H1773" s="151"/>
      <c r="I1773" s="150"/>
      <c r="J1773" s="152"/>
    </row>
    <row r="1774" spans="1:10">
      <c r="A1774" t="str">
        <f t="shared" si="144"/>
        <v/>
      </c>
      <c r="B1774" s="150"/>
      <c r="C1774" s="150"/>
      <c r="D1774" s="150"/>
      <c r="E1774" s="150"/>
      <c r="F1774" s="150"/>
      <c r="G1774" s="150"/>
      <c r="H1774" s="151"/>
      <c r="I1774" s="150"/>
      <c r="J1774" s="152"/>
    </row>
    <row r="1775" spans="1:10">
      <c r="A1775" t="str">
        <f t="shared" si="144"/>
        <v/>
      </c>
      <c r="B1775" s="150"/>
      <c r="C1775" s="150"/>
      <c r="D1775" s="150"/>
      <c r="E1775" s="150"/>
      <c r="F1775" s="150"/>
      <c r="G1775" s="150"/>
      <c r="H1775" s="151"/>
      <c r="I1775" s="150"/>
      <c r="J1775" s="152"/>
    </row>
    <row r="1776" spans="1:10">
      <c r="A1776" t="str">
        <f t="shared" si="144"/>
        <v/>
      </c>
      <c r="B1776" s="150"/>
      <c r="C1776" s="150"/>
      <c r="D1776" s="150"/>
      <c r="E1776" s="150"/>
      <c r="F1776" s="150"/>
      <c r="G1776" s="150"/>
      <c r="H1776" s="151"/>
      <c r="I1776" s="150"/>
      <c r="J1776" s="152"/>
    </row>
    <row r="1777" spans="1:10">
      <c r="A1777" t="str">
        <f t="shared" si="144"/>
        <v/>
      </c>
      <c r="B1777" s="150"/>
      <c r="C1777" s="150"/>
      <c r="D1777" s="150"/>
      <c r="E1777" s="150"/>
      <c r="F1777" s="150"/>
      <c r="G1777" s="150"/>
      <c r="H1777" s="151"/>
      <c r="I1777" s="150"/>
      <c r="J1777" s="152"/>
    </row>
    <row r="1778" spans="1:10">
      <c r="A1778" t="str">
        <f t="shared" si="144"/>
        <v/>
      </c>
      <c r="B1778" s="150"/>
      <c r="C1778" s="150"/>
      <c r="D1778" s="150"/>
      <c r="E1778" s="150"/>
      <c r="F1778" s="150"/>
      <c r="G1778" s="150"/>
      <c r="H1778" s="151"/>
      <c r="I1778" s="150"/>
      <c r="J1778" s="152"/>
    </row>
    <row r="1779" spans="1:10">
      <c r="A1779" t="str">
        <f t="shared" si="144"/>
        <v/>
      </c>
      <c r="B1779" s="150"/>
      <c r="C1779" s="150"/>
      <c r="D1779" s="150"/>
      <c r="E1779" s="150"/>
      <c r="F1779" s="150"/>
      <c r="G1779" s="150"/>
      <c r="H1779" s="151"/>
      <c r="I1779" s="150"/>
      <c r="J1779" s="152"/>
    </row>
    <row r="1780" spans="1:10">
      <c r="A1780" t="str">
        <f t="shared" si="144"/>
        <v/>
      </c>
      <c r="B1780" s="150"/>
      <c r="C1780" s="150"/>
      <c r="D1780" s="150"/>
      <c r="E1780" s="150"/>
      <c r="F1780" s="150"/>
      <c r="G1780" s="150"/>
      <c r="H1780" s="151"/>
      <c r="I1780" s="150"/>
      <c r="J1780" s="152"/>
    </row>
    <row r="1781" spans="1:10">
      <c r="A1781" t="str">
        <f t="shared" si="144"/>
        <v/>
      </c>
      <c r="B1781" s="150"/>
      <c r="C1781" s="150"/>
      <c r="D1781" s="150"/>
      <c r="E1781" s="150"/>
      <c r="F1781" s="150"/>
      <c r="G1781" s="150"/>
      <c r="H1781" s="151"/>
      <c r="I1781" s="150"/>
      <c r="J1781" s="152"/>
    </row>
    <row r="1782" spans="1:10">
      <c r="A1782" t="str">
        <f t="shared" si="144"/>
        <v/>
      </c>
      <c r="B1782" s="150"/>
      <c r="C1782" s="150"/>
      <c r="D1782" s="150"/>
      <c r="E1782" s="150"/>
      <c r="F1782" s="150"/>
      <c r="G1782" s="150"/>
      <c r="H1782" s="151"/>
      <c r="I1782" s="150"/>
      <c r="J1782" s="152"/>
    </row>
    <row r="1783" spans="1:10">
      <c r="A1783" t="str">
        <f t="shared" si="144"/>
        <v/>
      </c>
      <c r="B1783" s="150"/>
      <c r="C1783" s="150"/>
      <c r="D1783" s="150"/>
      <c r="E1783" s="150"/>
      <c r="F1783" s="150"/>
      <c r="G1783" s="150"/>
      <c r="H1783" s="151"/>
      <c r="I1783" s="150"/>
      <c r="J1783" s="152"/>
    </row>
    <row r="1784" spans="1:10">
      <c r="A1784" t="str">
        <f t="shared" si="144"/>
        <v/>
      </c>
      <c r="B1784" s="150"/>
      <c r="C1784" s="150"/>
      <c r="D1784" s="150"/>
      <c r="E1784" s="150"/>
      <c r="F1784" s="150"/>
      <c r="G1784" s="150"/>
      <c r="H1784" s="151"/>
      <c r="I1784" s="150"/>
      <c r="J1784" s="152"/>
    </row>
    <row r="1785" spans="1:10">
      <c r="A1785" t="str">
        <f t="shared" si="144"/>
        <v/>
      </c>
      <c r="B1785" s="150"/>
      <c r="C1785" s="150"/>
      <c r="D1785" s="150"/>
      <c r="E1785" s="150"/>
      <c r="F1785" s="150"/>
      <c r="G1785" s="150"/>
      <c r="H1785" s="151"/>
      <c r="I1785" s="150"/>
      <c r="J1785" s="152"/>
    </row>
    <row r="1786" spans="1:10">
      <c r="A1786" t="str">
        <f t="shared" si="144"/>
        <v/>
      </c>
      <c r="B1786" s="150"/>
      <c r="C1786" s="150"/>
      <c r="D1786" s="150"/>
      <c r="E1786" s="150"/>
      <c r="F1786" s="150"/>
      <c r="G1786" s="150"/>
      <c r="H1786" s="151"/>
      <c r="I1786" s="150"/>
      <c r="J1786" s="152"/>
    </row>
    <row r="1787" spans="1:10">
      <c r="A1787" t="str">
        <f t="shared" si="144"/>
        <v/>
      </c>
      <c r="B1787" s="150"/>
      <c r="C1787" s="150"/>
      <c r="D1787" s="150"/>
      <c r="E1787" s="150"/>
      <c r="F1787" s="150"/>
      <c r="G1787" s="150"/>
      <c r="H1787" s="151"/>
      <c r="I1787" s="150"/>
      <c r="J1787" s="152"/>
    </row>
    <row r="1788" spans="1:10">
      <c r="A1788" t="str">
        <f t="shared" si="144"/>
        <v/>
      </c>
      <c r="B1788" s="150"/>
      <c r="C1788" s="150"/>
      <c r="D1788" s="150"/>
      <c r="E1788" s="150"/>
      <c r="F1788" s="150"/>
      <c r="G1788" s="150"/>
      <c r="H1788" s="151"/>
      <c r="I1788" s="150"/>
      <c r="J1788" s="152"/>
    </row>
    <row r="1789" spans="1:10">
      <c r="A1789" t="str">
        <f t="shared" si="144"/>
        <v/>
      </c>
      <c r="B1789" s="150"/>
      <c r="C1789" s="150"/>
      <c r="D1789" s="150"/>
      <c r="E1789" s="150"/>
      <c r="F1789" s="150"/>
      <c r="G1789" s="150"/>
      <c r="H1789" s="151"/>
      <c r="I1789" s="150"/>
      <c r="J1789" s="152"/>
    </row>
    <row r="1790" spans="1:10">
      <c r="A1790" t="str">
        <f t="shared" si="144"/>
        <v/>
      </c>
      <c r="B1790" s="150"/>
      <c r="C1790" s="150"/>
      <c r="D1790" s="150"/>
      <c r="E1790" s="150"/>
      <c r="F1790" s="150"/>
      <c r="G1790" s="150"/>
      <c r="H1790" s="151"/>
      <c r="I1790" s="150"/>
      <c r="J1790" s="152"/>
    </row>
    <row r="1791" spans="1:10">
      <c r="A1791" t="str">
        <f t="shared" si="144"/>
        <v/>
      </c>
      <c r="B1791" s="150"/>
      <c r="C1791" s="150"/>
      <c r="D1791" s="150"/>
      <c r="E1791" s="150"/>
      <c r="F1791" s="150"/>
      <c r="G1791" s="150"/>
      <c r="H1791" s="151"/>
      <c r="I1791" s="150"/>
      <c r="J1791" s="152"/>
    </row>
    <row r="1792" spans="1:10">
      <c r="A1792" t="str">
        <f t="shared" si="144"/>
        <v/>
      </c>
      <c r="B1792" s="150"/>
      <c r="C1792" s="150"/>
      <c r="D1792" s="150"/>
      <c r="E1792" s="150"/>
      <c r="F1792" s="150"/>
      <c r="G1792" s="150"/>
      <c r="H1792" s="151"/>
      <c r="I1792" s="150"/>
      <c r="J1792" s="152"/>
    </row>
    <row r="1793" spans="1:10">
      <c r="A1793" t="str">
        <f t="shared" si="144"/>
        <v/>
      </c>
      <c r="B1793" s="150"/>
      <c r="C1793" s="150"/>
      <c r="D1793" s="150"/>
      <c r="E1793" s="150"/>
      <c r="F1793" s="150"/>
      <c r="G1793" s="150"/>
      <c r="H1793" s="151"/>
      <c r="I1793" s="150"/>
      <c r="J1793" s="152"/>
    </row>
    <row r="1794" spans="1:10">
      <c r="A1794" t="str">
        <f t="shared" ref="A1794:A1804" si="145">B1794&amp;C1794&amp;G1794</f>
        <v/>
      </c>
      <c r="B1794" s="150"/>
      <c r="C1794" s="150"/>
      <c r="D1794" s="150"/>
      <c r="E1794" s="150"/>
      <c r="F1794" s="150"/>
      <c r="G1794" s="150"/>
      <c r="H1794" s="151"/>
      <c r="I1794" s="150"/>
      <c r="J1794" s="152"/>
    </row>
    <row r="1795" spans="1:10">
      <c r="A1795" t="str">
        <f t="shared" si="145"/>
        <v/>
      </c>
      <c r="B1795" s="150"/>
      <c r="C1795" s="150"/>
      <c r="D1795" s="150"/>
      <c r="E1795" s="150"/>
      <c r="F1795" s="150"/>
      <c r="G1795" s="150"/>
      <c r="H1795" s="151"/>
      <c r="I1795" s="150"/>
      <c r="J1795" s="152"/>
    </row>
    <row r="1796" spans="1:10">
      <c r="A1796" t="str">
        <f t="shared" si="145"/>
        <v/>
      </c>
      <c r="B1796" s="150"/>
      <c r="C1796" s="150"/>
      <c r="D1796" s="150"/>
      <c r="E1796" s="150"/>
      <c r="F1796" s="150"/>
      <c r="G1796" s="150"/>
      <c r="H1796" s="151"/>
      <c r="I1796" s="150"/>
      <c r="J1796" s="152"/>
    </row>
    <row r="1797" spans="1:10">
      <c r="A1797" t="str">
        <f t="shared" si="145"/>
        <v/>
      </c>
      <c r="B1797" s="150"/>
      <c r="C1797" s="150"/>
      <c r="D1797" s="150"/>
      <c r="E1797" s="150"/>
      <c r="F1797" s="150"/>
      <c r="G1797" s="150"/>
      <c r="H1797" s="151"/>
      <c r="I1797" s="150"/>
      <c r="J1797" s="152"/>
    </row>
    <row r="1798" spans="1:10">
      <c r="A1798" t="str">
        <f t="shared" si="145"/>
        <v/>
      </c>
      <c r="B1798" s="150"/>
      <c r="C1798" s="150"/>
      <c r="D1798" s="150"/>
      <c r="E1798" s="150"/>
      <c r="F1798" s="150"/>
      <c r="G1798" s="150"/>
      <c r="H1798" s="151"/>
      <c r="I1798" s="150"/>
      <c r="J1798" s="152"/>
    </row>
    <row r="1799" spans="1:10">
      <c r="A1799" t="str">
        <f t="shared" si="145"/>
        <v/>
      </c>
      <c r="B1799" s="150"/>
      <c r="C1799" s="150"/>
      <c r="D1799" s="150"/>
      <c r="E1799" s="150"/>
      <c r="F1799" s="150"/>
      <c r="G1799" s="150"/>
      <c r="H1799" s="151"/>
      <c r="I1799" s="150"/>
      <c r="J1799" s="152"/>
    </row>
    <row r="1800" spans="1:10">
      <c r="A1800" t="str">
        <f t="shared" si="145"/>
        <v/>
      </c>
      <c r="B1800" s="150"/>
      <c r="C1800" s="150"/>
      <c r="D1800" s="150"/>
      <c r="E1800" s="150"/>
      <c r="F1800" s="150"/>
      <c r="G1800" s="150"/>
      <c r="H1800" s="151"/>
      <c r="I1800" s="150"/>
      <c r="J1800" s="152"/>
    </row>
    <row r="1801" spans="1:10">
      <c r="A1801" t="str">
        <f t="shared" si="145"/>
        <v/>
      </c>
      <c r="B1801" s="150"/>
      <c r="C1801" s="150"/>
      <c r="D1801" s="150"/>
      <c r="E1801" s="150"/>
      <c r="F1801" s="150"/>
      <c r="G1801" s="150"/>
      <c r="H1801" s="151"/>
      <c r="I1801" s="150"/>
      <c r="J1801" s="152"/>
    </row>
    <row r="1802" spans="1:10">
      <c r="A1802" t="str">
        <f t="shared" si="145"/>
        <v/>
      </c>
      <c r="B1802" s="150"/>
      <c r="C1802" s="150"/>
      <c r="D1802" s="150"/>
      <c r="E1802" s="150"/>
      <c r="F1802" s="150"/>
      <c r="G1802" s="150"/>
      <c r="H1802" s="151"/>
      <c r="I1802" s="150"/>
      <c r="J1802" s="152"/>
    </row>
    <row r="1803" spans="1:10">
      <c r="A1803" t="str">
        <f t="shared" si="145"/>
        <v/>
      </c>
      <c r="B1803" s="150"/>
      <c r="C1803" s="150"/>
      <c r="D1803" s="150"/>
      <c r="E1803" s="150"/>
      <c r="F1803" s="150"/>
      <c r="G1803" s="150"/>
      <c r="H1803" s="151"/>
      <c r="I1803" s="150"/>
      <c r="J1803" s="152"/>
    </row>
    <row r="1804" spans="1:10">
      <c r="A1804" t="str">
        <f t="shared" si="145"/>
        <v/>
      </c>
      <c r="B1804" s="150"/>
      <c r="C1804" s="150"/>
      <c r="D1804" s="150"/>
      <c r="E1804" s="150"/>
      <c r="F1804" s="150"/>
      <c r="G1804" s="150"/>
      <c r="H1804" s="151"/>
      <c r="I1804" s="150"/>
      <c r="J1804" s="152"/>
    </row>
  </sheetData>
  <phoneticPr fontId="2"/>
  <conditionalFormatting sqref="D1238:D1290">
    <cfRule type="duplicateValues" dxfId="3" priority="4" stopIfTrue="1"/>
  </conditionalFormatting>
  <conditionalFormatting sqref="D1291:D1294">
    <cfRule type="duplicateValues" dxfId="2" priority="3" stopIfTrue="1"/>
  </conditionalFormatting>
  <conditionalFormatting sqref="D1702:D1722">
    <cfRule type="duplicateValues" dxfId="1" priority="2" stopIfTrue="1"/>
  </conditionalFormatting>
  <conditionalFormatting sqref="D1723:D1726">
    <cfRule type="duplicateValues" dxfId="0" priority="1" stopIfTrue="1"/>
  </conditionalFormatting>
  <pageMargins left="0.75" right="0.75" top="1" bottom="1" header="0.51200000000000001" footer="0.5120000000000000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G33" sqref="G33"/>
    </sheetView>
  </sheetViews>
  <sheetFormatPr defaultRowHeight="13.5"/>
  <cols>
    <col min="1" max="1" width="12.125" bestFit="1" customWidth="1"/>
    <col min="2" max="2" width="12" customWidth="1"/>
    <col min="4" max="4" width="13.25" customWidth="1"/>
  </cols>
  <sheetData>
    <row r="1" spans="1:16">
      <c r="A1" t="s">
        <v>7</v>
      </c>
      <c r="B1" t="s">
        <v>8</v>
      </c>
      <c r="C1" t="s">
        <v>28</v>
      </c>
      <c r="D1" t="s">
        <v>29</v>
      </c>
      <c r="E1" t="s">
        <v>25</v>
      </c>
      <c r="F1" t="s">
        <v>58</v>
      </c>
      <c r="G1" t="s">
        <v>64</v>
      </c>
      <c r="H1" t="s">
        <v>31</v>
      </c>
      <c r="I1" t="s">
        <v>32</v>
      </c>
      <c r="J1" t="s">
        <v>52</v>
      </c>
      <c r="K1" t="s">
        <v>29</v>
      </c>
      <c r="L1" t="s">
        <v>25</v>
      </c>
      <c r="M1" t="s">
        <v>30</v>
      </c>
      <c r="N1" t="s">
        <v>64</v>
      </c>
      <c r="O1" t="s">
        <v>31</v>
      </c>
      <c r="P1" t="s">
        <v>32</v>
      </c>
    </row>
    <row r="2" spans="1:16">
      <c r="A2" t="s">
        <v>89</v>
      </c>
      <c r="B2" s="3">
        <v>41730</v>
      </c>
      <c r="D2" t="s">
        <v>33</v>
      </c>
      <c r="E2" t="b">
        <v>1</v>
      </c>
      <c r="F2" t="s">
        <v>60</v>
      </c>
      <c r="G2" t="b">
        <v>0</v>
      </c>
      <c r="H2">
        <v>1080</v>
      </c>
      <c r="I2">
        <v>1090</v>
      </c>
      <c r="K2" t="s">
        <v>33</v>
      </c>
      <c r="L2" t="b">
        <v>1</v>
      </c>
      <c r="M2" t="s">
        <v>60</v>
      </c>
      <c r="N2" t="b">
        <v>0</v>
      </c>
      <c r="O2">
        <v>1260</v>
      </c>
      <c r="P2">
        <v>1280</v>
      </c>
    </row>
    <row r="3" spans="1:16">
      <c r="A3" t="s">
        <v>90</v>
      </c>
      <c r="B3" s="3">
        <v>42217</v>
      </c>
      <c r="D3" t="s">
        <v>34</v>
      </c>
      <c r="E3" t="b">
        <v>1</v>
      </c>
      <c r="F3" t="s">
        <v>60</v>
      </c>
      <c r="G3" t="b">
        <v>0</v>
      </c>
      <c r="H3">
        <v>2200</v>
      </c>
      <c r="I3">
        <v>2220</v>
      </c>
      <c r="K3" t="s">
        <v>34</v>
      </c>
      <c r="L3" t="b">
        <v>1</v>
      </c>
      <c r="M3" t="s">
        <v>60</v>
      </c>
      <c r="N3" t="b">
        <v>0</v>
      </c>
      <c r="O3">
        <v>2585</v>
      </c>
      <c r="P3">
        <v>2675</v>
      </c>
    </row>
    <row r="4" spans="1:16">
      <c r="A4" t="s">
        <v>140</v>
      </c>
      <c r="B4" t="s">
        <v>141</v>
      </c>
      <c r="D4" t="s">
        <v>35</v>
      </c>
      <c r="E4" t="b">
        <v>0</v>
      </c>
      <c r="F4" t="s">
        <v>60</v>
      </c>
      <c r="G4" t="b">
        <v>0</v>
      </c>
      <c r="H4">
        <v>4880</v>
      </c>
      <c r="I4">
        <v>4995</v>
      </c>
      <c r="K4" t="s">
        <v>35</v>
      </c>
      <c r="L4" t="b">
        <v>0</v>
      </c>
      <c r="M4" t="s">
        <v>60</v>
      </c>
      <c r="N4" t="b">
        <v>0</v>
      </c>
      <c r="O4">
        <v>5950</v>
      </c>
      <c r="P4">
        <v>10100</v>
      </c>
    </row>
    <row r="5" spans="1:16">
      <c r="A5" t="s">
        <v>154</v>
      </c>
      <c r="D5" t="s">
        <v>36</v>
      </c>
      <c r="E5" t="b">
        <v>0</v>
      </c>
      <c r="F5" t="s">
        <v>60</v>
      </c>
      <c r="G5" t="b">
        <v>1</v>
      </c>
      <c r="H5">
        <v>15500</v>
      </c>
      <c r="I5">
        <v>15800</v>
      </c>
      <c r="K5" t="s">
        <v>36</v>
      </c>
      <c r="L5" t="b">
        <v>0</v>
      </c>
      <c r="M5" t="s">
        <v>60</v>
      </c>
      <c r="N5" t="b">
        <v>1</v>
      </c>
      <c r="O5">
        <v>21500</v>
      </c>
      <c r="P5">
        <v>23000</v>
      </c>
    </row>
    <row r="6" spans="1:16">
      <c r="A6" t="s">
        <v>155</v>
      </c>
      <c r="B6">
        <v>10</v>
      </c>
      <c r="D6" t="s">
        <v>37</v>
      </c>
      <c r="E6" t="b">
        <v>0</v>
      </c>
      <c r="F6" t="s">
        <v>60</v>
      </c>
      <c r="G6" t="b">
        <v>1</v>
      </c>
      <c r="H6">
        <v>35850</v>
      </c>
      <c r="I6">
        <v>40400</v>
      </c>
      <c r="K6" t="s">
        <v>37</v>
      </c>
      <c r="L6" t="b">
        <v>0</v>
      </c>
      <c r="M6" t="s">
        <v>60</v>
      </c>
      <c r="N6" t="b">
        <v>1</v>
      </c>
      <c r="O6">
        <v>44000</v>
      </c>
      <c r="P6">
        <v>50000</v>
      </c>
    </row>
    <row r="7" spans="1:16">
      <c r="A7" t="s">
        <v>156</v>
      </c>
      <c r="B7">
        <v>20</v>
      </c>
      <c r="D7" t="s">
        <v>38</v>
      </c>
      <c r="E7" t="b">
        <v>0</v>
      </c>
      <c r="F7" t="s">
        <v>60</v>
      </c>
      <c r="G7" t="b">
        <v>1</v>
      </c>
      <c r="H7">
        <v>145000</v>
      </c>
      <c r="I7">
        <v>150500</v>
      </c>
      <c r="K7" t="s">
        <v>38</v>
      </c>
      <c r="L7" t="b">
        <v>0</v>
      </c>
      <c r="M7" t="s">
        <v>60</v>
      </c>
      <c r="N7" t="b">
        <v>1</v>
      </c>
      <c r="O7">
        <v>165000</v>
      </c>
      <c r="P7">
        <v>174000</v>
      </c>
    </row>
    <row r="8" spans="1:16">
      <c r="A8" t="s">
        <v>157</v>
      </c>
      <c r="B8">
        <v>30</v>
      </c>
      <c r="D8" t="s">
        <v>39</v>
      </c>
      <c r="E8" t="b">
        <v>0</v>
      </c>
      <c r="F8" t="s">
        <v>60</v>
      </c>
      <c r="G8" t="b">
        <v>1</v>
      </c>
      <c r="H8">
        <v>305000</v>
      </c>
      <c r="I8">
        <v>313000</v>
      </c>
      <c r="K8" t="s">
        <v>62</v>
      </c>
      <c r="L8" t="b">
        <v>0</v>
      </c>
      <c r="M8" t="s">
        <v>60</v>
      </c>
      <c r="N8" t="b">
        <v>1</v>
      </c>
      <c r="O8" t="s">
        <v>55</v>
      </c>
      <c r="P8">
        <v>101000</v>
      </c>
    </row>
    <row r="9" spans="1:16">
      <c r="A9" t="s">
        <v>158</v>
      </c>
      <c r="B9">
        <v>1</v>
      </c>
      <c r="D9" t="s">
        <v>54</v>
      </c>
      <c r="E9" t="b">
        <v>0</v>
      </c>
      <c r="F9" t="s">
        <v>60</v>
      </c>
      <c r="G9" t="b">
        <v>1</v>
      </c>
      <c r="H9" t="s">
        <v>55</v>
      </c>
      <c r="I9">
        <v>152000</v>
      </c>
      <c r="K9" t="s">
        <v>39</v>
      </c>
      <c r="L9" t="b">
        <v>0</v>
      </c>
      <c r="M9" t="s">
        <v>60</v>
      </c>
      <c r="N9" t="b">
        <v>1</v>
      </c>
      <c r="O9">
        <v>363000</v>
      </c>
      <c r="P9">
        <v>370000</v>
      </c>
    </row>
    <row r="10" spans="1:16">
      <c r="A10" t="s">
        <v>159</v>
      </c>
      <c r="B10">
        <v>11</v>
      </c>
      <c r="D10" t="s">
        <v>40</v>
      </c>
      <c r="E10" t="b">
        <v>1</v>
      </c>
      <c r="F10" t="s">
        <v>60</v>
      </c>
      <c r="G10" t="b">
        <v>0</v>
      </c>
      <c r="H10">
        <v>1515</v>
      </c>
      <c r="I10">
        <v>1590</v>
      </c>
      <c r="K10" t="s">
        <v>63</v>
      </c>
      <c r="L10" t="b">
        <v>0</v>
      </c>
      <c r="M10" t="s">
        <v>60</v>
      </c>
      <c r="N10" t="b">
        <v>1</v>
      </c>
      <c r="O10" t="s">
        <v>55</v>
      </c>
      <c r="P10">
        <v>103000</v>
      </c>
    </row>
    <row r="11" spans="1:16">
      <c r="A11" t="s">
        <v>160</v>
      </c>
      <c r="B11">
        <v>21</v>
      </c>
      <c r="D11" t="s">
        <v>41</v>
      </c>
      <c r="E11" t="b">
        <v>0</v>
      </c>
      <c r="F11" t="s">
        <v>60</v>
      </c>
      <c r="G11" t="b">
        <v>0</v>
      </c>
      <c r="H11">
        <v>5430</v>
      </c>
      <c r="I11">
        <v>5600</v>
      </c>
      <c r="K11" t="s">
        <v>54</v>
      </c>
      <c r="L11" t="b">
        <v>0</v>
      </c>
      <c r="M11" t="s">
        <v>60</v>
      </c>
      <c r="N11" t="b">
        <v>1</v>
      </c>
      <c r="O11" t="s">
        <v>55</v>
      </c>
      <c r="P11">
        <v>180000</v>
      </c>
    </row>
    <row r="12" spans="1:16">
      <c r="A12" t="s">
        <v>179</v>
      </c>
      <c r="B12" s="3">
        <v>42160</v>
      </c>
      <c r="D12" t="s">
        <v>42</v>
      </c>
      <c r="E12" t="b">
        <v>0</v>
      </c>
      <c r="F12" t="s">
        <v>60</v>
      </c>
      <c r="G12" t="b">
        <v>1</v>
      </c>
      <c r="H12">
        <v>91800</v>
      </c>
      <c r="I12">
        <v>93500</v>
      </c>
      <c r="K12" t="s">
        <v>53</v>
      </c>
      <c r="L12" t="b">
        <v>1</v>
      </c>
      <c r="M12" t="s">
        <v>60</v>
      </c>
      <c r="N12" t="b">
        <v>0</v>
      </c>
      <c r="O12">
        <v>1550</v>
      </c>
      <c r="P12">
        <v>1620</v>
      </c>
    </row>
    <row r="13" spans="1:16">
      <c r="A13" t="s">
        <v>190</v>
      </c>
      <c r="B13">
        <v>2000</v>
      </c>
      <c r="D13" t="s">
        <v>43</v>
      </c>
      <c r="E13" t="b">
        <v>0</v>
      </c>
      <c r="F13" t="s">
        <v>60</v>
      </c>
      <c r="G13" t="b">
        <v>1</v>
      </c>
      <c r="H13">
        <v>460000</v>
      </c>
      <c r="I13">
        <v>470000</v>
      </c>
      <c r="K13" t="s">
        <v>41</v>
      </c>
      <c r="L13" t="b">
        <v>0</v>
      </c>
      <c r="M13" t="s">
        <v>60</v>
      </c>
      <c r="N13" t="b">
        <v>0</v>
      </c>
      <c r="O13">
        <v>10650</v>
      </c>
      <c r="P13">
        <v>10850</v>
      </c>
    </row>
    <row r="14" spans="1:16">
      <c r="A14" t="s">
        <v>191</v>
      </c>
      <c r="B14">
        <v>3000</v>
      </c>
      <c r="D14" t="s">
        <v>57</v>
      </c>
      <c r="E14" t="b">
        <v>0</v>
      </c>
      <c r="F14" t="s">
        <v>60</v>
      </c>
      <c r="G14" t="b">
        <v>1</v>
      </c>
      <c r="H14" t="s">
        <v>55</v>
      </c>
      <c r="I14">
        <v>230000</v>
      </c>
      <c r="K14" t="s">
        <v>42</v>
      </c>
      <c r="L14" t="b">
        <v>0</v>
      </c>
      <c r="M14" t="s">
        <v>60</v>
      </c>
      <c r="N14" t="b">
        <v>1</v>
      </c>
      <c r="O14">
        <v>120000</v>
      </c>
      <c r="P14" t="s">
        <v>55</v>
      </c>
    </row>
    <row r="15" spans="1:16">
      <c r="D15" t="s">
        <v>56</v>
      </c>
      <c r="E15" t="b">
        <v>0</v>
      </c>
      <c r="F15" t="s">
        <v>59</v>
      </c>
      <c r="G15" t="b">
        <v>0</v>
      </c>
      <c r="H15">
        <v>4600</v>
      </c>
      <c r="I15">
        <v>4700</v>
      </c>
      <c r="K15" t="s">
        <v>43</v>
      </c>
      <c r="L15" t="b">
        <v>0</v>
      </c>
      <c r="M15" t="s">
        <v>60</v>
      </c>
      <c r="N15" t="b">
        <v>1</v>
      </c>
      <c r="O15">
        <v>560000</v>
      </c>
      <c r="P15">
        <v>570000</v>
      </c>
    </row>
    <row r="16" spans="1:16">
      <c r="D16" t="s">
        <v>44</v>
      </c>
      <c r="E16" t="b">
        <v>0</v>
      </c>
      <c r="F16" t="s">
        <v>61</v>
      </c>
      <c r="G16" t="b">
        <v>0</v>
      </c>
      <c r="H16">
        <v>203</v>
      </c>
      <c r="I16">
        <v>200</v>
      </c>
      <c r="K16" t="s">
        <v>57</v>
      </c>
      <c r="L16" t="b">
        <v>0</v>
      </c>
      <c r="M16" t="s">
        <v>60</v>
      </c>
      <c r="N16" t="b">
        <v>1</v>
      </c>
      <c r="O16" t="s">
        <v>55</v>
      </c>
      <c r="P16">
        <v>265000</v>
      </c>
    </row>
    <row r="17" spans="1:16">
      <c r="D17" t="s">
        <v>45</v>
      </c>
      <c r="E17" t="b">
        <v>0</v>
      </c>
      <c r="F17" t="s">
        <v>61</v>
      </c>
      <c r="G17" t="b">
        <v>0</v>
      </c>
      <c r="H17">
        <v>480</v>
      </c>
      <c r="I17">
        <v>460</v>
      </c>
      <c r="K17" t="s">
        <v>56</v>
      </c>
      <c r="L17" t="b">
        <v>0</v>
      </c>
      <c r="M17" t="s">
        <v>59</v>
      </c>
      <c r="N17" t="b">
        <v>0</v>
      </c>
      <c r="O17">
        <v>5600</v>
      </c>
      <c r="P17">
        <v>5700</v>
      </c>
    </row>
    <row r="18" spans="1:16">
      <c r="D18" t="s">
        <v>46</v>
      </c>
      <c r="E18" t="b">
        <v>1</v>
      </c>
      <c r="F18" t="s">
        <v>61</v>
      </c>
      <c r="G18" t="b">
        <v>0</v>
      </c>
      <c r="H18">
        <v>730</v>
      </c>
      <c r="I18">
        <v>710</v>
      </c>
      <c r="K18" t="s">
        <v>44</v>
      </c>
      <c r="L18" t="b">
        <v>0</v>
      </c>
      <c r="M18" t="s">
        <v>61</v>
      </c>
      <c r="N18" t="b">
        <v>0</v>
      </c>
      <c r="O18">
        <v>165</v>
      </c>
      <c r="P18">
        <v>160</v>
      </c>
    </row>
    <row r="19" spans="1:16">
      <c r="D19" t="s">
        <v>47</v>
      </c>
      <c r="E19" t="b">
        <v>1</v>
      </c>
      <c r="F19" t="s">
        <v>61</v>
      </c>
      <c r="G19" t="b">
        <v>0</v>
      </c>
      <c r="H19">
        <v>1485</v>
      </c>
      <c r="I19">
        <v>1465</v>
      </c>
      <c r="K19" t="s">
        <v>45</v>
      </c>
      <c r="L19" t="b">
        <v>0</v>
      </c>
      <c r="M19" t="s">
        <v>61</v>
      </c>
      <c r="N19" t="b">
        <v>0</v>
      </c>
      <c r="O19">
        <v>300</v>
      </c>
      <c r="P19">
        <v>270</v>
      </c>
    </row>
    <row r="20" spans="1:16">
      <c r="D20" t="s">
        <v>48</v>
      </c>
      <c r="E20" t="b">
        <v>0</v>
      </c>
      <c r="F20" t="s">
        <v>61</v>
      </c>
      <c r="G20" t="b">
        <v>0</v>
      </c>
      <c r="H20">
        <v>1330</v>
      </c>
      <c r="I20">
        <v>1270</v>
      </c>
      <c r="K20" t="s">
        <v>46</v>
      </c>
      <c r="L20" t="b">
        <v>1</v>
      </c>
      <c r="M20" t="s">
        <v>61</v>
      </c>
      <c r="N20" t="b">
        <v>0</v>
      </c>
      <c r="O20">
        <v>560</v>
      </c>
      <c r="P20">
        <v>545</v>
      </c>
    </row>
    <row r="21" spans="1:16">
      <c r="D21" t="s">
        <v>49</v>
      </c>
      <c r="E21" t="b">
        <v>0</v>
      </c>
      <c r="F21" t="s">
        <v>61</v>
      </c>
      <c r="G21" t="b">
        <v>0</v>
      </c>
      <c r="H21">
        <v>4100</v>
      </c>
      <c r="I21">
        <v>3900</v>
      </c>
      <c r="K21" t="s">
        <v>47</v>
      </c>
      <c r="L21" t="b">
        <v>1</v>
      </c>
      <c r="M21" t="s">
        <v>61</v>
      </c>
      <c r="N21" t="b">
        <v>0</v>
      </c>
      <c r="O21">
        <v>1140</v>
      </c>
      <c r="P21">
        <v>1090</v>
      </c>
    </row>
    <row r="22" spans="1:16">
      <c r="D22" t="s">
        <v>50</v>
      </c>
      <c r="E22" t="b">
        <v>0</v>
      </c>
      <c r="F22" t="s">
        <v>61</v>
      </c>
      <c r="G22" t="b">
        <v>0</v>
      </c>
      <c r="H22">
        <v>5300</v>
      </c>
      <c r="I22">
        <v>5000</v>
      </c>
      <c r="K22" t="s">
        <v>48</v>
      </c>
      <c r="L22" t="b">
        <v>0</v>
      </c>
      <c r="M22" t="s">
        <v>61</v>
      </c>
      <c r="N22" t="b">
        <v>0</v>
      </c>
      <c r="O22">
        <v>1150</v>
      </c>
      <c r="P22">
        <v>1130</v>
      </c>
    </row>
    <row r="23" spans="1:16">
      <c r="D23" t="s">
        <v>51</v>
      </c>
      <c r="E23" t="b">
        <v>0</v>
      </c>
      <c r="F23" t="s">
        <v>61</v>
      </c>
      <c r="G23" t="b">
        <v>0</v>
      </c>
      <c r="H23">
        <v>6450</v>
      </c>
      <c r="I23">
        <v>6150</v>
      </c>
      <c r="K23" t="s">
        <v>49</v>
      </c>
      <c r="L23" t="b">
        <v>0</v>
      </c>
      <c r="M23" t="s">
        <v>61</v>
      </c>
      <c r="N23" t="b">
        <v>0</v>
      </c>
      <c r="O23">
        <v>3900</v>
      </c>
      <c r="P23">
        <v>3700</v>
      </c>
    </row>
    <row r="24" spans="1:16">
      <c r="K24" t="s">
        <v>50</v>
      </c>
      <c r="L24" t="b">
        <v>0</v>
      </c>
      <c r="M24" t="s">
        <v>61</v>
      </c>
      <c r="N24" t="b">
        <v>0</v>
      </c>
      <c r="O24">
        <v>3900</v>
      </c>
      <c r="P24">
        <v>3500</v>
      </c>
    </row>
    <row r="25" spans="1:16">
      <c r="A25" s="3">
        <v>42121</v>
      </c>
      <c r="B25" t="s">
        <v>311</v>
      </c>
      <c r="K25" t="s">
        <v>51</v>
      </c>
      <c r="L25" t="b">
        <v>0</v>
      </c>
      <c r="M25" t="s">
        <v>61</v>
      </c>
      <c r="N25" t="b">
        <v>0</v>
      </c>
      <c r="O25">
        <v>4450</v>
      </c>
      <c r="P25">
        <v>4300</v>
      </c>
    </row>
  </sheetData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学校情報</vt:lpstr>
      <vt:lpstr>選手情報</vt:lpstr>
      <vt:lpstr>リレーチーム情報</vt:lpstr>
      <vt:lpstr>様式Ⅰ　総括申込書</vt:lpstr>
      <vt:lpstr>様式Ⅱ　個票</vt:lpstr>
      <vt:lpstr>様式Ⅲ　リレー申込書</vt:lpstr>
      <vt:lpstr>様式Ⅳ　種目別申込表</vt:lpstr>
      <vt:lpstr>選手データ</vt:lpstr>
      <vt:lpstr>設定</vt:lpstr>
      <vt:lpstr>'様式Ⅰ　総括申込書'!Print_Area</vt:lpstr>
      <vt:lpstr>'様式Ⅱ　個票'!Print_Area</vt:lpstr>
      <vt:lpstr>'様式Ⅲ　リレー申込書'!Print_Area</vt:lpstr>
      <vt:lpstr>'様式Ⅳ　種目別申込表'!Print_Area</vt:lpstr>
      <vt:lpstr>女子種目</vt:lpstr>
      <vt:lpstr>女子種目設定</vt:lpstr>
      <vt:lpstr>男子種目</vt:lpstr>
      <vt:lpstr>男子種目設定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shioayu@hotmail.co.jp</dc:creator>
  <cp:lastModifiedBy>owner</cp:lastModifiedBy>
  <cp:lastPrinted>2015-02-23T11:35:41Z</cp:lastPrinted>
  <dcterms:created xsi:type="dcterms:W3CDTF">2015-02-08T13:19:12Z</dcterms:created>
  <dcterms:modified xsi:type="dcterms:W3CDTF">2015-05-10T09:09:26Z</dcterms:modified>
</cp:coreProperties>
</file>