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159dfe5182b6d026/ドキュメント/01.陸上関係/02.JAAF_Okayama/01.岡山陸上競技協会/2021(R03)年/20210501_第4回谷 三三五記念陸上競技大会/"/>
    </mc:Choice>
  </mc:AlternateContent>
  <xr:revisionPtr revIDLastSave="0" documentId="8_{16CF9F57-2C1A-4A44-BA89-4087315B9020}" xr6:coauthVersionLast="46" xr6:coauthVersionMax="46" xr10:uidLastSave="{00000000-0000-0000-0000-000000000000}"/>
  <bookViews>
    <workbookView xWindow="-120" yWindow="-120" windowWidth="29040" windowHeight="15840"/>
  </bookViews>
  <sheets>
    <sheet name="個人一覧" sheetId="1" r:id="rId1"/>
  </sheets>
  <definedNames>
    <definedName name="_xlnm._FilterDatabase" localSheetId="0" hidden="1">個人一覧!$A$10:$K$10</definedName>
    <definedName name="_xlnm.Print_Area" localSheetId="0">個人一覧!$A$1:$K$70</definedName>
    <definedName name="種目コード">個人一覧!#REF!</definedName>
  </definedNames>
  <calcPr calcId="191029"/>
</workbook>
</file>

<file path=xl/calcChain.xml><?xml version="1.0" encoding="utf-8"?>
<calcChain xmlns="http://schemas.openxmlformats.org/spreadsheetml/2006/main">
  <c r="P13" i="1" l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30" i="1" s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O28" i="1"/>
  <c r="O30" i="1" s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G6" i="1"/>
  <c r="G5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17" i="1"/>
  <c r="J16" i="1"/>
  <c r="J18" i="1"/>
  <c r="J19" i="1"/>
  <c r="J20" i="1"/>
  <c r="J21" i="1"/>
  <c r="J22" i="1"/>
  <c r="J23" i="1"/>
  <c r="J24" i="1"/>
  <c r="J8" i="1"/>
  <c r="J11" i="1"/>
  <c r="J12" i="1"/>
  <c r="J13" i="1"/>
  <c r="J14" i="1"/>
  <c r="J15" i="1"/>
  <c r="P30" i="1" l="1"/>
</calcChain>
</file>

<file path=xl/sharedStrings.xml><?xml version="1.0" encoding="utf-8"?>
<sst xmlns="http://schemas.openxmlformats.org/spreadsheetml/2006/main" count="67" uniqueCount="66">
  <si>
    <t>大会名：</t>
  </si>
  <si>
    <t>種目名</t>
  </si>
  <si>
    <t>種目ｺｰﾄﾞ</t>
    <phoneticPr fontId="2"/>
  </si>
  <si>
    <t>33</t>
    <phoneticPr fontId="2"/>
  </si>
  <si>
    <t>1</t>
    <phoneticPr fontId="2"/>
  </si>
  <si>
    <t>345</t>
    <phoneticPr fontId="2"/>
  </si>
  <si>
    <r>
      <t>記録</t>
    </r>
    <r>
      <rPr>
        <sz val="11"/>
        <color indexed="53"/>
        <rFont val="ＭＳ Ｐゴシック"/>
        <family val="3"/>
        <charset val="128"/>
      </rPr>
      <t>※</t>
    </r>
    <phoneticPr fontId="2"/>
  </si>
  <si>
    <t>種目名(自動入力）</t>
    <rPh sb="0" eb="2">
      <t>シュモク</t>
    </rPh>
    <rPh sb="2" eb="3">
      <t>メイ</t>
    </rPh>
    <rPh sb="4" eb="6">
      <t>ジドウ</t>
    </rPh>
    <rPh sb="6" eb="8">
      <t>ニュウリョク</t>
    </rPh>
    <phoneticPr fontId="2"/>
  </si>
  <si>
    <r>
      <t xml:space="preserve">性別 </t>
    </r>
    <r>
      <rPr>
        <sz val="11"/>
        <rFont val="ＭＳ Ｐゴシック"/>
        <family val="3"/>
        <charset val="128"/>
      </rPr>
      <t>男１　女２</t>
    </r>
    <rPh sb="3" eb="4">
      <t>オトコ</t>
    </rPh>
    <rPh sb="6" eb="7">
      <t>オンナ</t>
    </rPh>
    <phoneticPr fontId="2"/>
  </si>
  <si>
    <t>県　３３</t>
    <rPh sb="0" eb="1">
      <t>ケン</t>
    </rPh>
    <phoneticPr fontId="2"/>
  </si>
  <si>
    <t>所属名</t>
    <rPh sb="0" eb="1">
      <t>メイ</t>
    </rPh>
    <phoneticPr fontId="2"/>
  </si>
  <si>
    <r>
      <t>DBコード</t>
    </r>
    <r>
      <rPr>
        <sz val="11"/>
        <rFont val="ＭＳ Ｐゴシック"/>
        <family val="3"/>
        <charset val="128"/>
      </rPr>
      <t>(記入不要）</t>
    </r>
    <rPh sb="6" eb="8">
      <t>キニュウ</t>
    </rPh>
    <rPh sb="8" eb="10">
      <t>フヨウ</t>
    </rPh>
    <phoneticPr fontId="2"/>
  </si>
  <si>
    <t>ﾋﾞｾﾞﾝ ｲﾁﾛｳ</t>
    <phoneticPr fontId="2"/>
  </si>
  <si>
    <t>フリガナ</t>
    <phoneticPr fontId="2"/>
  </si>
  <si>
    <t>種目ｺｰﾄﾞ</t>
    <phoneticPr fontId="2"/>
  </si>
  <si>
    <t>参加料</t>
    <rPh sb="0" eb="3">
      <t>サンカリョウ</t>
    </rPh>
    <phoneticPr fontId="2"/>
  </si>
  <si>
    <t>2</t>
    <phoneticPr fontId="2"/>
  </si>
  <si>
    <t>備前　一郎(2)</t>
    <rPh sb="0" eb="2">
      <t>ビゼン</t>
    </rPh>
    <rPh sb="3" eb="5">
      <t>イチロウ</t>
    </rPh>
    <phoneticPr fontId="2"/>
  </si>
  <si>
    <t>0001156</t>
    <phoneticPr fontId="2"/>
  </si>
  <si>
    <t>出場集計</t>
    <rPh sb="0" eb="2">
      <t>シュツジョウ</t>
    </rPh>
    <rPh sb="2" eb="4">
      <t>シュウケイ</t>
    </rPh>
    <phoneticPr fontId="2"/>
  </si>
  <si>
    <t>名前(児童、生徒、学生は学年、車椅子はクラス、半角で）</t>
    <rPh sb="3" eb="5">
      <t>ジドウ</t>
    </rPh>
    <rPh sb="6" eb="8">
      <t>セイト</t>
    </rPh>
    <rPh sb="9" eb="11">
      <t>ガクセイ</t>
    </rPh>
    <phoneticPr fontId="2"/>
  </si>
  <si>
    <t>学年
年齢</t>
    <rPh sb="3" eb="5">
      <t>ネンレイ</t>
    </rPh>
    <phoneticPr fontId="2"/>
  </si>
  <si>
    <t>登録№（小学生不要）</t>
    <phoneticPr fontId="2"/>
  </si>
  <si>
    <t>女子：</t>
    <rPh sb="0" eb="2">
      <t>ジョシ</t>
    </rPh>
    <phoneticPr fontId="2"/>
  </si>
  <si>
    <t>参加者数男子：</t>
    <rPh sb="0" eb="2">
      <t>サンカ</t>
    </rPh>
    <rPh sb="2" eb="3">
      <t>シャ</t>
    </rPh>
    <rPh sb="3" eb="4">
      <t>スウ</t>
    </rPh>
    <rPh sb="4" eb="6">
      <t>ダンシ</t>
    </rPh>
    <phoneticPr fontId="2"/>
  </si>
  <si>
    <t>電話連絡先：</t>
    <rPh sb="0" eb="2">
      <t>デンワ</t>
    </rPh>
    <rPh sb="2" eb="4">
      <t>レンラク</t>
    </rPh>
    <rPh sb="4" eb="5">
      <t>サキ</t>
    </rPh>
    <phoneticPr fontId="2"/>
  </si>
  <si>
    <t>学校・クラブ</t>
    <phoneticPr fontId="2"/>
  </si>
  <si>
    <t>記載責任者：</t>
    <phoneticPr fontId="2"/>
  </si>
  <si>
    <t>00550</t>
    <phoneticPr fontId="2"/>
  </si>
  <si>
    <t>車椅子400ｍ</t>
    <rPh sb="0" eb="3">
      <t>クルマイス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</si>
  <si>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</si>
  <si>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</si>
  <si>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※記録(ベスト記録)はﾄﾗｯｸ競技7桁(12秒25=0001225)、ﾌｨｰﾙﾄﾞ競技5桁(4m80=00480)</t>
    <rPh sb="22" eb="23">
      <t>ビョウ</t>
    </rPh>
    <phoneticPr fontId="2"/>
  </si>
  <si>
    <t>小学生500円、中学生・高校生600円、一般700円</t>
    <rPh sb="0" eb="1">
      <t>ショウ</t>
    </rPh>
    <rPh sb="6" eb="7">
      <t>エン</t>
    </rPh>
    <rPh sb="8" eb="11">
      <t>チュウガクセイ</t>
    </rPh>
    <rPh sb="12" eb="15">
      <t>コウコウセイ</t>
    </rPh>
    <rPh sb="18" eb="19">
      <t>エン</t>
    </rPh>
    <rPh sb="20" eb="22">
      <t>イッパン</t>
    </rPh>
    <rPh sb="25" eb="26">
      <t>エン</t>
    </rPh>
    <phoneticPr fontId="2"/>
  </si>
  <si>
    <t>第４回谷三三五記念陸上競技大会申込一覧</t>
    <rPh sb="0" eb="1">
      <t>ダイ</t>
    </rPh>
    <rPh sb="2" eb="3">
      <t>カイ</t>
    </rPh>
    <rPh sb="3" eb="4">
      <t>タニ</t>
    </rPh>
    <rPh sb="4" eb="5">
      <t>サン</t>
    </rPh>
    <rPh sb="5" eb="7">
      <t>サンゴ</t>
    </rPh>
    <rPh sb="7" eb="9">
      <t>キネン</t>
    </rPh>
    <rPh sb="9" eb="11">
      <t>キョウギ</t>
    </rPh>
    <rPh sb="13" eb="15">
      <t>タイカイ</t>
    </rPh>
    <phoneticPr fontId="2"/>
  </si>
  <si>
    <t>第４回谷三三五記念陸上競技大会</t>
    <rPh sb="0" eb="1">
      <t>ダイ</t>
    </rPh>
    <rPh sb="2" eb="3">
      <t>カイ</t>
    </rPh>
    <rPh sb="3" eb="4">
      <t>タニ</t>
    </rPh>
    <rPh sb="4" eb="5">
      <t>サン</t>
    </rPh>
    <rPh sb="5" eb="7">
      <t>サンゴ</t>
    </rPh>
    <rPh sb="7" eb="9">
      <t>キネン</t>
    </rPh>
    <rPh sb="9" eb="11">
      <t>リクジョウ</t>
    </rPh>
    <rPh sb="11" eb="13">
      <t>キョウギ</t>
    </rPh>
    <rPh sb="13" eb="15">
      <t>タイカイ</t>
    </rPh>
    <phoneticPr fontId="2"/>
  </si>
  <si>
    <t>00216</t>
    <phoneticPr fontId="2"/>
  </si>
  <si>
    <t>00220</t>
    <phoneticPr fontId="2"/>
  </si>
  <si>
    <t>00240</t>
    <phoneticPr fontId="2"/>
  </si>
  <si>
    <t>中学100m</t>
    <rPh sb="0" eb="2">
      <t>チュウガク</t>
    </rPh>
    <phoneticPr fontId="2"/>
  </si>
  <si>
    <t>高校一般100m</t>
    <rPh sb="0" eb="2">
      <t>コウコウ</t>
    </rPh>
    <rPh sb="2" eb="4">
      <t>イッパン</t>
    </rPh>
    <phoneticPr fontId="2"/>
  </si>
  <si>
    <t>中学1500m</t>
    <rPh sb="0" eb="2">
      <t>チュウガク</t>
    </rPh>
    <phoneticPr fontId="2"/>
  </si>
  <si>
    <t>高校一般1500m</t>
    <rPh sb="0" eb="2">
      <t>コウコウ</t>
    </rPh>
    <rPh sb="2" eb="4">
      <t>イッパン</t>
    </rPh>
    <phoneticPr fontId="2"/>
  </si>
  <si>
    <t>00820</t>
    <phoneticPr fontId="2"/>
  </si>
  <si>
    <t>00840</t>
    <phoneticPr fontId="2"/>
  </si>
  <si>
    <t>03220</t>
    <phoneticPr fontId="2"/>
  </si>
  <si>
    <t>04220</t>
    <phoneticPr fontId="2"/>
  </si>
  <si>
    <t>中学男子110ｍH（0.914）</t>
    <rPh sb="0" eb="2">
      <t>チュウガク</t>
    </rPh>
    <rPh sb="2" eb="4">
      <t>ダンシ</t>
    </rPh>
    <phoneticPr fontId="2"/>
  </si>
  <si>
    <t>中学女子100ｍH（0.762）</t>
    <rPh sb="0" eb="2">
      <t>チュウガク</t>
    </rPh>
    <rPh sb="2" eb="4">
      <t>ジョシ</t>
    </rPh>
    <phoneticPr fontId="2"/>
  </si>
  <si>
    <t>小学5.6年100m</t>
    <rPh sb="0" eb="1">
      <t>ショウ</t>
    </rPh>
    <rPh sb="1" eb="2">
      <t>ガク</t>
    </rPh>
    <rPh sb="5" eb="6">
      <t>ネン</t>
    </rPh>
    <phoneticPr fontId="2"/>
  </si>
  <si>
    <t>中学走幅跳</t>
    <rPh sb="0" eb="2">
      <t>チュウガク</t>
    </rPh>
    <rPh sb="2" eb="3">
      <t>ソウ</t>
    </rPh>
    <rPh sb="3" eb="4">
      <t>ハバ</t>
    </rPh>
    <phoneticPr fontId="2"/>
  </si>
  <si>
    <t>高校一般走幅跳</t>
    <rPh sb="0" eb="2">
      <t>コウコウ</t>
    </rPh>
    <rPh sb="2" eb="4">
      <t>イッパン</t>
    </rPh>
    <rPh sb="4" eb="5">
      <t>ソウ</t>
    </rPh>
    <rPh sb="5" eb="6">
      <t>ハバ</t>
    </rPh>
    <phoneticPr fontId="2"/>
  </si>
  <si>
    <t>07320</t>
    <phoneticPr fontId="2"/>
  </si>
  <si>
    <t>07340</t>
    <phoneticPr fontId="2"/>
  </si>
  <si>
    <t>中学女砲丸投(2.721㎏)</t>
    <rPh sb="0" eb="2">
      <t>チュウガク</t>
    </rPh>
    <rPh sb="2" eb="3">
      <t>オンナ</t>
    </rPh>
    <phoneticPr fontId="2"/>
  </si>
  <si>
    <t>08320</t>
    <phoneticPr fontId="2"/>
  </si>
  <si>
    <t>08520</t>
    <phoneticPr fontId="2"/>
  </si>
  <si>
    <t>中学男砲丸投(5.000㎏)</t>
    <rPh sb="0" eb="2">
      <t>チュウガク</t>
    </rPh>
    <rPh sb="2" eb="3">
      <t>オトコ</t>
    </rPh>
    <phoneticPr fontId="2"/>
  </si>
  <si>
    <t>高校女砲丸投(4.000㎏)</t>
    <rPh sb="0" eb="1">
      <t>コウ</t>
    </rPh>
    <rPh sb="1" eb="2">
      <t>コウ</t>
    </rPh>
    <rPh sb="2" eb="3">
      <t>ジョ</t>
    </rPh>
    <phoneticPr fontId="2"/>
  </si>
  <si>
    <t>高校男砲丸投(6.000㎏)</t>
    <rPh sb="0" eb="1">
      <t>コウ</t>
    </rPh>
    <rPh sb="1" eb="2">
      <t>コウ</t>
    </rPh>
    <rPh sb="2" eb="3">
      <t>オトコ</t>
    </rPh>
    <phoneticPr fontId="2"/>
  </si>
  <si>
    <t>08230</t>
    <phoneticPr fontId="2"/>
  </si>
  <si>
    <t>08430</t>
    <phoneticPr fontId="2"/>
  </si>
  <si>
    <t>高校男円盤投(1.750㎏)</t>
    <rPh sb="0" eb="1">
      <t>コウ</t>
    </rPh>
    <rPh sb="1" eb="2">
      <t>コウ</t>
    </rPh>
    <rPh sb="2" eb="3">
      <t>オトコ</t>
    </rPh>
    <rPh sb="3" eb="6">
      <t>エンバンナゲ</t>
    </rPh>
    <phoneticPr fontId="2"/>
  </si>
  <si>
    <t>高校女砲丸投(1.000㎏)</t>
    <rPh sb="0" eb="1">
      <t>コウ</t>
    </rPh>
    <rPh sb="1" eb="2">
      <t>コウ</t>
    </rPh>
    <rPh sb="2" eb="3">
      <t>ジョ</t>
    </rPh>
    <phoneticPr fontId="2"/>
  </si>
  <si>
    <t>08730</t>
    <phoneticPr fontId="2"/>
  </si>
  <si>
    <t>08830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</si>
</sst>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8" formatCode="0&quot;円&quot;"/>
    <numFmt numFmtId="180" formatCode="0_);[Red]\(0\)"/>
    <numFmt numFmtId="181" formatCode="#,##0_);[Red]\(#,##0\)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52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1"/>
      <color indexed="53"/>
      <name val="ＭＳ ゴシック"/>
      <family val="3"/>
      <charset val="128"/>
    </font>
    <font>
      <sz val="11"/>
      <color indexed="5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00B05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12"/>
      </left>
      <right style="thin">
        <color indexed="64"/>
      </right>
      <top style="thin">
        <color indexed="12"/>
      </top>
      <bottom style="thin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1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5" borderId="16" applyNumberFormat="0" applyFon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1" fillId="34" borderId="1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7" fillId="34" borderId="23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18" applyNumberFormat="0" applyAlignment="0" applyProtection="0">
      <alignment vertical="center"/>
    </xf>
    <xf numFmtId="0" fontId="30" fillId="35" borderId="0" applyNumberFormat="0" applyBorder="0" applyAlignment="0" applyProtection="0">
      <alignment vertical="center"/>
    </xf>
  </cellStyleXfs>
  <cellXfs count="97">
    <xf numFmtId="0" fontId="0" fillId="0" borderId="0" xfId="0" applyAlignment="1"/>
    <xf numFmtId="49" fontId="4" fillId="0" borderId="0" xfId="0" applyNumberFormat="1" applyFont="1" applyAlignment="1" applyProtection="1"/>
    <xf numFmtId="49" fontId="4" fillId="0" borderId="1" xfId="0" applyNumberFormat="1" applyFont="1" applyBorder="1" applyAlignment="1" applyProtection="1"/>
    <xf numFmtId="49" fontId="4" fillId="0" borderId="0" xfId="0" applyNumberFormat="1" applyFont="1" applyFill="1" applyAlignment="1" applyProtection="1"/>
    <xf numFmtId="49" fontId="4" fillId="0" borderId="0" xfId="0" quotePrefix="1" applyNumberFormat="1" applyFont="1" applyFill="1" applyAlignment="1" applyProtection="1">
      <alignment horizontal="left"/>
    </xf>
    <xf numFmtId="49" fontId="4" fillId="0" borderId="0" xfId="0" quotePrefix="1" applyNumberFormat="1" applyFont="1" applyFill="1" applyAlignment="1" applyProtection="1">
      <alignment horizontal="right"/>
    </xf>
    <xf numFmtId="49" fontId="4" fillId="0" borderId="0" xfId="0" applyNumberFormat="1" applyFont="1" applyFill="1" applyAlignment="1" applyProtection="1">
      <alignment horizontal="right"/>
    </xf>
    <xf numFmtId="49" fontId="0" fillId="0" borderId="2" xfId="0" applyNumberFormat="1" applyFont="1" applyBorder="1" applyAlignment="1" applyProtection="1"/>
    <xf numFmtId="49" fontId="3" fillId="0" borderId="0" xfId="0" applyNumberFormat="1" applyFont="1" applyAlignment="1" applyProtection="1"/>
    <xf numFmtId="49" fontId="4" fillId="0" borderId="1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/>
    <xf numFmtId="49" fontId="8" fillId="0" borderId="0" xfId="0" applyNumberFormat="1" applyFont="1" applyFill="1" applyBorder="1" applyAlignment="1" applyProtection="1"/>
    <xf numFmtId="49" fontId="8" fillId="0" borderId="0" xfId="0" applyNumberFormat="1" applyFont="1" applyBorder="1" applyAlignment="1" applyProtection="1">
      <alignment horizontal="left"/>
    </xf>
    <xf numFmtId="49" fontId="8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Border="1" applyAlignment="1">
      <alignment horizontal="left"/>
    </xf>
    <xf numFmtId="49" fontId="10" fillId="0" borderId="0" xfId="0" applyNumberFormat="1" applyFont="1" applyFill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11" fillId="0" borderId="0" xfId="0" applyNumberFormat="1" applyFont="1" applyFill="1" applyAlignment="1" applyProtection="1">
      <alignment horizontal="left"/>
    </xf>
    <xf numFmtId="49" fontId="10" fillId="0" borderId="4" xfId="0" applyNumberFormat="1" applyFont="1" applyFill="1" applyBorder="1" applyAlignment="1" applyProtection="1">
      <alignment horizontal="left"/>
    </xf>
    <xf numFmtId="0" fontId="6" fillId="0" borderId="4" xfId="0" applyNumberFormat="1" applyFont="1" applyFill="1" applyBorder="1" applyAlignment="1" applyProtection="1">
      <alignment horizontal="left" vertical="center"/>
    </xf>
    <xf numFmtId="49" fontId="0" fillId="6" borderId="2" xfId="0" applyNumberFormat="1" applyFont="1" applyFill="1" applyBorder="1" applyAlignment="1" applyProtection="1">
      <alignment shrinkToFit="1"/>
    </xf>
    <xf numFmtId="49" fontId="0" fillId="0" borderId="4" xfId="0" quotePrefix="1" applyNumberFormat="1" applyFont="1" applyFill="1" applyBorder="1" applyAlignment="1" applyProtection="1">
      <alignment horizontal="left"/>
    </xf>
    <xf numFmtId="49" fontId="0" fillId="0" borderId="4" xfId="0" applyNumberFormat="1" applyFont="1" applyFill="1" applyBorder="1" applyAlignment="1" applyProtection="1">
      <alignment wrapText="1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49" fontId="0" fillId="0" borderId="4" xfId="0" applyNumberFormat="1" applyFont="1" applyFill="1" applyBorder="1" applyAlignment="1" applyProtection="1"/>
    <xf numFmtId="49" fontId="0" fillId="0" borderId="4" xfId="0" quotePrefix="1" applyNumberFormat="1" applyFont="1" applyFill="1" applyBorder="1" applyAlignment="1" applyProtection="1">
      <alignment horizontal="left" wrapText="1"/>
    </xf>
    <xf numFmtId="49" fontId="4" fillId="0" borderId="0" xfId="0" applyNumberFormat="1" applyFont="1" applyBorder="1" applyAlignment="1" applyProtection="1"/>
    <xf numFmtId="178" fontId="4" fillId="0" borderId="1" xfId="0" applyNumberFormat="1" applyFont="1" applyFill="1" applyBorder="1" applyAlignment="1" applyProtection="1"/>
    <xf numFmtId="49" fontId="4" fillId="0" borderId="1" xfId="0" applyNumberFormat="1" applyFont="1" applyBorder="1" applyAlignment="1" applyProtection="1">
      <alignment shrinkToFit="1"/>
    </xf>
    <xf numFmtId="49" fontId="4" fillId="0" borderId="1" xfId="0" applyNumberFormat="1" applyFont="1" applyBorder="1" applyAlignment="1" applyProtection="1">
      <alignment horizontal="left" shrinkToFit="1"/>
    </xf>
    <xf numFmtId="49" fontId="9" fillId="0" borderId="0" xfId="0" applyNumberFormat="1" applyFont="1" applyFill="1" applyAlignment="1" applyProtection="1"/>
    <xf numFmtId="49" fontId="4" fillId="0" borderId="0" xfId="0" applyNumberFormat="1" applyFont="1" applyBorder="1" applyAlignment="1" applyProtection="1">
      <alignment shrinkToFit="1"/>
    </xf>
    <xf numFmtId="49" fontId="4" fillId="2" borderId="0" xfId="0" applyNumberFormat="1" applyFont="1" applyFill="1" applyAlignment="1" applyProtection="1">
      <protection locked="0"/>
    </xf>
    <xf numFmtId="49" fontId="4" fillId="0" borderId="6" xfId="0" applyNumberFormat="1" applyFont="1" applyBorder="1" applyAlignment="1" applyProtection="1"/>
    <xf numFmtId="49" fontId="4" fillId="0" borderId="2" xfId="0" applyNumberFormat="1" applyFont="1" applyBorder="1" applyAlignment="1" applyProtection="1"/>
    <xf numFmtId="49" fontId="4" fillId="0" borderId="0" xfId="0" applyNumberFormat="1" applyFont="1" applyAlignment="1" applyProtection="1">
      <alignment horizontal="center"/>
    </xf>
    <xf numFmtId="0" fontId="4" fillId="0" borderId="5" xfId="0" applyNumberFormat="1" applyFont="1" applyFill="1" applyBorder="1" applyAlignment="1" applyProtection="1">
      <alignment horizontal="center"/>
      <protection locked="0"/>
    </xf>
    <xf numFmtId="180" fontId="4" fillId="0" borderId="0" xfId="0" applyNumberFormat="1" applyFont="1" applyAlignment="1" applyProtection="1"/>
    <xf numFmtId="181" fontId="4" fillId="0" borderId="0" xfId="0" applyNumberFormat="1" applyFont="1" applyAlignment="1" applyProtection="1">
      <alignment horizontal="left"/>
    </xf>
    <xf numFmtId="181" fontId="4" fillId="0" borderId="0" xfId="0" applyNumberFormat="1" applyFont="1" applyAlignment="1" applyProtection="1"/>
    <xf numFmtId="49" fontId="10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49" fontId="4" fillId="0" borderId="7" xfId="0" applyNumberFormat="1" applyFont="1" applyBorder="1" applyAlignment="1" applyProtection="1"/>
    <xf numFmtId="49" fontId="7" fillId="0" borderId="7" xfId="0" applyNumberFormat="1" applyFont="1" applyBorder="1" applyAlignment="1" applyProtection="1"/>
    <xf numFmtId="49" fontId="0" fillId="0" borderId="7" xfId="0" applyNumberFormat="1" applyFont="1" applyBorder="1" applyAlignment="1" applyProtection="1">
      <alignment horizontal="center"/>
    </xf>
    <xf numFmtId="49" fontId="10" fillId="0" borderId="7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left" shrinkToFit="1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9" fontId="5" fillId="0" borderId="8" xfId="0" applyNumberFormat="1" applyFont="1" applyFill="1" applyBorder="1" applyAlignment="1" applyProtection="1">
      <alignment horizontal="left"/>
      <protection locked="0"/>
    </xf>
    <xf numFmtId="49" fontId="5" fillId="0" borderId="8" xfId="0" applyNumberFormat="1" applyFont="1" applyFill="1" applyBorder="1" applyAlignment="1" applyProtection="1">
      <alignment horizontal="center"/>
      <protection locked="0"/>
    </xf>
    <xf numFmtId="49" fontId="4" fillId="0" borderId="3" xfId="0" quotePrefix="1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49" fontId="0" fillId="0" borderId="4" xfId="0" quotePrefix="1" applyNumberFormat="1" applyFont="1" applyFill="1" applyBorder="1" applyAlignment="1" applyProtection="1">
      <alignment horizontal="left" wrapText="1" shrinkToFit="1"/>
    </xf>
    <xf numFmtId="49" fontId="4" fillId="11" borderId="0" xfId="0" applyNumberFormat="1" applyFont="1" applyFill="1" applyAlignment="1" applyProtection="1">
      <alignment horizontal="center"/>
    </xf>
    <xf numFmtId="49" fontId="4" fillId="0" borderId="0" xfId="0" applyNumberFormat="1" applyFont="1" applyFill="1" applyAlignment="1" applyProtection="1">
      <alignment horizontal="left"/>
      <protection locked="0"/>
    </xf>
    <xf numFmtId="178" fontId="4" fillId="0" borderId="0" xfId="0" applyNumberFormat="1" applyFont="1" applyFill="1" applyBorder="1" applyAlignment="1" applyProtection="1"/>
    <xf numFmtId="49" fontId="0" fillId="0" borderId="4" xfId="0" applyNumberFormat="1" applyFont="1" applyBorder="1" applyAlignment="1" applyProtection="1"/>
    <xf numFmtId="49" fontId="4" fillId="0" borderId="1" xfId="0" applyNumberFormat="1" applyFont="1" applyFill="1" applyBorder="1" applyAlignment="1" applyProtection="1"/>
    <xf numFmtId="176" fontId="4" fillId="0" borderId="0" xfId="0" applyNumberFormat="1" applyFont="1" applyAlignment="1" applyProtection="1">
      <alignment horizontal="center"/>
    </xf>
    <xf numFmtId="1" fontId="5" fillId="0" borderId="9" xfId="0" quotePrefix="1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left"/>
      <protection locked="0"/>
    </xf>
    <xf numFmtId="49" fontId="9" fillId="0" borderId="1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>
      <alignment horizontal="center"/>
      <protection locked="0"/>
    </xf>
    <xf numFmtId="49" fontId="3" fillId="0" borderId="10" xfId="0" quotePrefix="1" applyNumberFormat="1" applyFont="1" applyFill="1" applyBorder="1" applyAlignment="1" applyProtection="1">
      <alignment horizontal="left"/>
    </xf>
    <xf numFmtId="49" fontId="0" fillId="0" borderId="10" xfId="0" applyNumberFormat="1" applyFont="1" applyBorder="1" applyAlignment="1" applyProtection="1"/>
    <xf numFmtId="0" fontId="4" fillId="0" borderId="11" xfId="0" applyNumberFormat="1" applyFont="1" applyFill="1" applyBorder="1" applyAlignment="1" applyProtection="1">
      <alignment horizontal="center"/>
      <protection locked="0"/>
    </xf>
    <xf numFmtId="0" fontId="4" fillId="2" borderId="11" xfId="0" applyNumberFormat="1" applyFont="1" applyFill="1" applyBorder="1" applyAlignment="1" applyProtection="1">
      <alignment horizontal="center"/>
      <protection locked="0"/>
    </xf>
    <xf numFmtId="0" fontId="4" fillId="2" borderId="12" xfId="0" applyNumberFormat="1" applyFont="1" applyFill="1" applyBorder="1" applyAlignment="1" applyProtection="1">
      <alignment horizontal="center"/>
      <protection locked="0"/>
    </xf>
    <xf numFmtId="0" fontId="4" fillId="2" borderId="13" xfId="0" applyNumberFormat="1" applyFont="1" applyFill="1" applyBorder="1" applyAlignment="1" applyProtection="1">
      <alignment horizontal="center"/>
      <protection locked="0"/>
    </xf>
    <xf numFmtId="49" fontId="5" fillId="0" borderId="8" xfId="0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center"/>
    </xf>
    <xf numFmtId="49" fontId="5" fillId="0" borderId="8" xfId="0" applyNumberFormat="1" applyFont="1" applyBorder="1" applyAlignment="1"/>
    <xf numFmtId="49" fontId="5" fillId="0" borderId="9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 applyProtection="1">
      <alignment horizontal="center"/>
    </xf>
    <xf numFmtId="49" fontId="4" fillId="0" borderId="3" xfId="0" applyNumberFormat="1" applyFont="1" applyFill="1" applyBorder="1" applyAlignment="1" applyProtection="1">
      <alignment horizontal="left" vertical="center"/>
      <protection locked="0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0" fontId="6" fillId="6" borderId="3" xfId="0" applyNumberFormat="1" applyFont="1" applyFill="1" applyBorder="1" applyAlignment="1" applyProtection="1">
      <alignment horizontal="left" vertical="center" shrinkToFit="1"/>
    </xf>
    <xf numFmtId="49" fontId="4" fillId="0" borderId="14" xfId="0" applyNumberFormat="1" applyFont="1" applyFill="1" applyBorder="1" applyAlignment="1" applyProtection="1">
      <alignment horizontal="left"/>
      <protection locked="0"/>
    </xf>
    <xf numFmtId="49" fontId="4" fillId="0" borderId="1" xfId="0" applyNumberFormat="1" applyFont="1" applyFill="1" applyBorder="1" applyAlignment="1" applyProtection="1">
      <alignment horizontal="center" shrinkToFit="1"/>
      <protection locked="0"/>
    </xf>
    <xf numFmtId="0" fontId="31" fillId="0" borderId="1" xfId="0" applyNumberFormat="1" applyFont="1" applyFill="1" applyBorder="1" applyAlignment="1" applyProtection="1">
      <alignment horizontal="center"/>
      <protection locked="0"/>
    </xf>
    <xf numFmtId="49" fontId="4" fillId="0" borderId="3" xfId="0" applyNumberFormat="1" applyFont="1" applyFill="1" applyBorder="1" applyAlignment="1" applyProtection="1">
      <alignment vertical="center"/>
      <protection locked="0"/>
    </xf>
    <xf numFmtId="49" fontId="32" fillId="0" borderId="1" xfId="0" applyNumberFormat="1" applyFont="1" applyFill="1" applyBorder="1" applyAlignment="1" applyProtection="1">
      <alignment horizontal="center"/>
      <protection locked="0"/>
    </xf>
    <xf numFmtId="49" fontId="32" fillId="0" borderId="8" xfId="0" applyNumberFormat="1" applyFont="1" applyFill="1" applyBorder="1" applyAlignment="1" applyProtection="1">
      <alignment horizontal="center"/>
      <protection locked="0"/>
    </xf>
    <xf numFmtId="176" fontId="4" fillId="0" borderId="0" xfId="0" applyNumberFormat="1" applyFont="1" applyAlignment="1" applyProtection="1"/>
    <xf numFmtId="176" fontId="4" fillId="0" borderId="1" xfId="0" applyNumberFormat="1" applyFont="1" applyFill="1" applyBorder="1" applyAlignment="1" applyProtection="1">
      <alignment horizontal="left"/>
      <protection locked="0"/>
    </xf>
    <xf numFmtId="180" fontId="4" fillId="0" borderId="0" xfId="0" applyNumberFormat="1" applyFont="1" applyAlignment="1" applyProtection="1">
      <alignment horizontal="right"/>
    </xf>
    <xf numFmtId="49" fontId="4" fillId="0" borderId="1" xfId="0" applyNumberFormat="1" applyFont="1" applyFill="1" applyBorder="1" applyAlignment="1" applyProtection="1">
      <alignment horizontal="left" shrinkToFit="1"/>
      <protection locked="0"/>
    </xf>
    <xf numFmtId="49" fontId="31" fillId="0" borderId="1" xfId="0" applyNumberFormat="1" applyFont="1" applyFill="1" applyBorder="1" applyAlignment="1" applyProtection="1">
      <alignment horizontal="center"/>
      <protection locked="0"/>
    </xf>
    <xf numFmtId="49" fontId="31" fillId="0" borderId="8" xfId="0" applyNumberFormat="1" applyFont="1" applyFill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vertical="center" shrinkToFit="1"/>
    </xf>
    <xf numFmtId="0" fontId="13" fillId="3" borderId="9" xfId="0" applyNumberFormat="1" applyFont="1" applyFill="1" applyBorder="1" applyAlignment="1">
      <alignment horizontal="left" vertical="center" shrinkToFit="1"/>
    </xf>
    <xf numFmtId="49" fontId="13" fillId="3" borderId="9" xfId="0" applyNumberFormat="1" applyFont="1" applyFill="1" applyBorder="1" applyAlignment="1">
      <alignment horizontal="left" vertical="center" shrinkToFit="1"/>
    </xf>
    <xf numFmtId="49" fontId="4" fillId="2" borderId="0" xfId="0" applyNumberFormat="1" applyFont="1" applyFill="1" applyBorder="1" applyAlignment="1" applyProtection="1">
      <alignment horizontal="left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abSelected="1" zoomScaleNormal="100" zoomScaleSheetLayoutView="100" workbookViewId="0"/>
  </sheetViews>
  <sheetFormatPr defaultRowHeight="13.5"/>
  <cols>
    <col min="1" max="1" width="13.25" style="1" customWidth="1"/>
    <col min="2" max="2" width="17.875" style="1" customWidth="1"/>
    <col min="3" max="3" width="13.5" style="1" customWidth="1"/>
    <col min="4" max="4" width="5.125" style="1" customWidth="1"/>
    <col min="5" max="5" width="5" style="1" customWidth="1"/>
    <col min="6" max="6" width="4.625" style="1" customWidth="1"/>
    <col min="7" max="7" width="17.75" style="1" customWidth="1"/>
    <col min="8" max="8" width="6.875" style="1" customWidth="1"/>
    <col min="9" max="9" width="9.125" style="1" customWidth="1"/>
    <col min="10" max="10" width="19.5" style="1" customWidth="1"/>
    <col min="11" max="11" width="12.625" style="1" customWidth="1"/>
    <col min="12" max="12" width="9" style="1" customWidth="1"/>
    <col min="13" max="13" width="7.75" style="1" customWidth="1"/>
    <col min="14" max="14" width="16.875" style="1" customWidth="1"/>
    <col min="15" max="16" width="8.375" style="1" customWidth="1"/>
    <col min="17" max="17" width="8.25" style="1" customWidth="1"/>
    <col min="18" max="16384" width="9" style="1"/>
  </cols>
  <sheetData>
    <row r="1" spans="1:17">
      <c r="A1" s="4" t="s">
        <v>34</v>
      </c>
      <c r="C1" s="3"/>
      <c r="D1" s="3"/>
      <c r="E1" s="3"/>
      <c r="F1" s="3"/>
      <c r="G1" s="3"/>
      <c r="H1" s="3"/>
      <c r="I1" s="3" t="s">
        <v>15</v>
      </c>
      <c r="J1" s="30"/>
      <c r="K1" s="3"/>
    </row>
    <row r="2" spans="1:17">
      <c r="A2" s="3"/>
      <c r="B2" s="4"/>
      <c r="C2" s="3"/>
      <c r="D2" s="3"/>
      <c r="E2" s="3"/>
      <c r="F2" s="3"/>
      <c r="G2" s="3"/>
      <c r="H2" s="33" t="s">
        <v>33</v>
      </c>
      <c r="J2" s="58"/>
      <c r="K2" s="3"/>
    </row>
    <row r="3" spans="1:17">
      <c r="A3" s="3"/>
      <c r="B3" s="3"/>
      <c r="C3" s="3"/>
      <c r="D3" s="3"/>
      <c r="E3" s="3"/>
      <c r="F3" s="3"/>
      <c r="G3" s="3"/>
      <c r="H3" s="3"/>
      <c r="J3" s="4" t="s">
        <v>27</v>
      </c>
      <c r="K3" s="56"/>
      <c r="L3" s="45"/>
    </row>
    <row r="4" spans="1:17">
      <c r="A4" s="5" t="s">
        <v>0</v>
      </c>
      <c r="B4" s="96" t="s">
        <v>35</v>
      </c>
      <c r="C4" s="96"/>
      <c r="D4" s="96"/>
      <c r="E4" s="96"/>
      <c r="F4" s="96"/>
      <c r="G4" s="10"/>
      <c r="H4" s="5" t="s">
        <v>26</v>
      </c>
      <c r="I4" s="35"/>
      <c r="J4" s="57" t="s">
        <v>25</v>
      </c>
      <c r="K4" s="56"/>
      <c r="L4" s="46"/>
    </row>
    <row r="5" spans="1:17">
      <c r="A5" s="3"/>
      <c r="B5" s="3"/>
      <c r="C5" s="3"/>
      <c r="D5" s="3"/>
      <c r="E5" s="3"/>
      <c r="F5" s="6" t="s">
        <v>24</v>
      </c>
      <c r="G5" s="26">
        <f>COUNTIF(E11:E78,"1")</f>
        <v>0</v>
      </c>
      <c r="K5" s="3"/>
      <c r="L5" s="45"/>
    </row>
    <row r="6" spans="1:17">
      <c r="A6" s="3"/>
      <c r="B6" s="3"/>
      <c r="C6" s="3"/>
      <c r="D6" s="3"/>
      <c r="E6" s="3"/>
      <c r="F6" s="6" t="s">
        <v>23</v>
      </c>
      <c r="G6" s="26">
        <f>COUNTIF(E11:E78,"2")</f>
        <v>0</v>
      </c>
      <c r="I6" s="8"/>
      <c r="J6" s="3"/>
      <c r="L6" s="47"/>
    </row>
    <row r="7" spans="1:17" ht="14.25" thickBot="1">
      <c r="A7" s="3"/>
      <c r="B7" s="3"/>
      <c r="C7" s="3"/>
      <c r="D7" s="3"/>
      <c r="E7" s="3"/>
      <c r="F7" s="6"/>
      <c r="G7" s="50"/>
      <c r="I7" s="8"/>
      <c r="J7" s="3"/>
      <c r="L7" s="47"/>
    </row>
    <row r="8" spans="1:17" ht="14.25" thickBot="1">
      <c r="A8" s="21"/>
      <c r="B8" s="21" t="s">
        <v>17</v>
      </c>
      <c r="C8" s="21" t="s">
        <v>12</v>
      </c>
      <c r="D8" s="21" t="s">
        <v>16</v>
      </c>
      <c r="E8" s="21" t="s">
        <v>4</v>
      </c>
      <c r="F8" s="21" t="s">
        <v>3</v>
      </c>
      <c r="G8" s="21"/>
      <c r="H8" s="21" t="s">
        <v>5</v>
      </c>
      <c r="I8" s="21" t="s">
        <v>37</v>
      </c>
      <c r="J8" s="22" t="str">
        <f>VLOOKUP(I8,$M$12:$N$28,2,FALSE)</f>
        <v>中学100m</v>
      </c>
      <c r="K8" s="21" t="s">
        <v>18</v>
      </c>
      <c r="L8" s="43"/>
    </row>
    <row r="9" spans="1:17" ht="14.25" thickBot="1">
      <c r="A9" s="18"/>
      <c r="B9" s="18"/>
      <c r="C9" s="18" t="s">
        <v>32</v>
      </c>
      <c r="F9" s="18"/>
      <c r="G9" s="20"/>
      <c r="H9" s="18"/>
      <c r="J9" s="19"/>
      <c r="L9" s="48"/>
    </row>
    <row r="10" spans="1:17" ht="60" customHeight="1" thickBot="1">
      <c r="A10" s="28" t="s">
        <v>11</v>
      </c>
      <c r="B10" s="25" t="s">
        <v>20</v>
      </c>
      <c r="C10" s="27" t="s">
        <v>13</v>
      </c>
      <c r="D10" s="25" t="s">
        <v>21</v>
      </c>
      <c r="E10" s="25" t="s">
        <v>8</v>
      </c>
      <c r="F10" s="25" t="s">
        <v>9</v>
      </c>
      <c r="G10" s="24" t="s">
        <v>10</v>
      </c>
      <c r="H10" s="55" t="s">
        <v>22</v>
      </c>
      <c r="I10" s="7" t="s">
        <v>2</v>
      </c>
      <c r="J10" s="23" t="s">
        <v>7</v>
      </c>
      <c r="K10" s="59" t="s">
        <v>6</v>
      </c>
      <c r="L10" s="29"/>
    </row>
    <row r="11" spans="1:17" ht="14.25" thickBot="1">
      <c r="A11" s="88"/>
      <c r="B11" s="9"/>
      <c r="C11" s="9"/>
      <c r="D11" s="11"/>
      <c r="E11" s="11"/>
      <c r="F11" s="11"/>
      <c r="G11" s="9"/>
      <c r="H11" s="91"/>
      <c r="I11" s="2"/>
      <c r="J11" s="80" t="str">
        <f>IF(I11="","",VLOOKUP(I11,$M$13:$N$59,2,FALSE))</f>
        <v/>
      </c>
      <c r="K11" s="53"/>
      <c r="L11" s="44"/>
      <c r="P11" s="36" t="s">
        <v>19</v>
      </c>
      <c r="Q11" s="37"/>
    </row>
    <row r="12" spans="1:17">
      <c r="A12" s="88"/>
      <c r="B12" s="9"/>
      <c r="C12" s="9"/>
      <c r="D12" s="11"/>
      <c r="E12" s="11"/>
      <c r="F12" s="11"/>
      <c r="G12" s="9"/>
      <c r="H12" s="91"/>
      <c r="I12" s="2"/>
      <c r="J12" s="80" t="str">
        <f>IF(I12="","",VLOOKUP(I12,$M$13:$N$59,2,FALSE))</f>
        <v/>
      </c>
      <c r="K12" s="53"/>
      <c r="L12" s="44"/>
      <c r="M12" s="67" t="s">
        <v>14</v>
      </c>
      <c r="N12" s="68" t="s">
        <v>1</v>
      </c>
      <c r="P12" s="38" t="s">
        <v>30</v>
      </c>
      <c r="Q12" s="38" t="s">
        <v>31</v>
      </c>
    </row>
    <row r="13" spans="1:17">
      <c r="A13" s="88"/>
      <c r="B13" s="9"/>
      <c r="C13" s="9"/>
      <c r="D13" s="11"/>
      <c r="E13" s="11"/>
      <c r="F13" s="11"/>
      <c r="G13" s="9"/>
      <c r="H13" s="91"/>
      <c r="I13" s="2"/>
      <c r="J13" s="80" t="str">
        <f>IF(I13="","",VLOOKUP(I13,$M$13:$N$59,2,FALSE))</f>
        <v/>
      </c>
      <c r="K13" s="53"/>
      <c r="L13" s="44"/>
      <c r="M13" s="2" t="s">
        <v>36</v>
      </c>
      <c r="N13" s="31" t="s">
        <v>49</v>
      </c>
      <c r="O13" s="69">
        <f>COUNTIF(I11:I70,"00216")</f>
        <v>0</v>
      </c>
      <c r="P13" s="70">
        <f>COUNTIFS(E11:E70,1,I11:I70,216)</f>
        <v>0</v>
      </c>
      <c r="Q13" s="71">
        <f>COUNTIFS(E11:E70,2,I11:I70,216)</f>
        <v>0</v>
      </c>
    </row>
    <row r="14" spans="1:17">
      <c r="A14" s="88"/>
      <c r="B14" s="51"/>
      <c r="C14" s="51"/>
      <c r="D14" s="11"/>
      <c r="E14" s="11"/>
      <c r="F14" s="52"/>
      <c r="G14" s="9"/>
      <c r="H14" s="92"/>
      <c r="I14" s="2"/>
      <c r="J14" s="94" t="str">
        <f>IF(I14="","",VLOOKUP(I14,$M$13:$N$59,2,FALSE))</f>
        <v/>
      </c>
      <c r="K14" s="62"/>
      <c r="L14" s="44"/>
      <c r="M14" s="2" t="s">
        <v>37</v>
      </c>
      <c r="N14" s="31" t="s">
        <v>39</v>
      </c>
      <c r="O14" s="39">
        <f>COUNTIF(I11:I70,"00220")</f>
        <v>0</v>
      </c>
      <c r="P14" s="26">
        <f>COUNTIFS(E11:E70,1,I11:I70,220)</f>
        <v>0</v>
      </c>
      <c r="Q14" s="72">
        <f>COUNTIFS(E11:E70,2,I11:I70,220)</f>
        <v>0</v>
      </c>
    </row>
    <row r="15" spans="1:17">
      <c r="A15" s="88"/>
      <c r="B15" s="9"/>
      <c r="C15" s="9"/>
      <c r="D15" s="11"/>
      <c r="E15" s="11"/>
      <c r="F15" s="11"/>
      <c r="G15" s="9"/>
      <c r="H15" s="91"/>
      <c r="I15" s="2"/>
      <c r="J15" s="80" t="str">
        <f>IF(I15="","",VLOOKUP(I15,$M$13:$N$59,2,FALSE))</f>
        <v/>
      </c>
      <c r="K15" s="12"/>
      <c r="L15" s="44"/>
      <c r="M15" s="2" t="s">
        <v>38</v>
      </c>
      <c r="N15" s="31" t="s">
        <v>40</v>
      </c>
      <c r="O15" s="39">
        <f>COUNTIF(I11:I78,"00240")</f>
        <v>0</v>
      </c>
      <c r="P15" s="26">
        <f>COUNTIFS(E11:E70,1,I11:I70,240)</f>
        <v>0</v>
      </c>
      <c r="Q15" s="72">
        <f>COUNTIFS(E11:E78,2,I11:I78,240)</f>
        <v>0</v>
      </c>
    </row>
    <row r="16" spans="1:17">
      <c r="A16" s="88"/>
      <c r="B16" s="81"/>
      <c r="C16" s="9"/>
      <c r="D16" s="11"/>
      <c r="E16" s="11"/>
      <c r="F16" s="82"/>
      <c r="G16" s="90"/>
      <c r="H16" s="83"/>
      <c r="I16" s="2"/>
      <c r="J16" s="80" t="str">
        <f>IF(I16="","",VLOOKUP(I16,$M$7:$N$61,2,FALSE))</f>
        <v/>
      </c>
      <c r="K16" s="78"/>
      <c r="L16" s="44"/>
      <c r="M16" s="2" t="s">
        <v>43</v>
      </c>
      <c r="N16" s="31" t="s">
        <v>41</v>
      </c>
      <c r="O16" s="39">
        <f>COUNTIF(I11:I78,"00820")</f>
        <v>0</v>
      </c>
      <c r="P16" s="26">
        <f>COUNTIFS(E11:E78,1,I11:I78,820)</f>
        <v>0</v>
      </c>
      <c r="Q16" s="72">
        <f>COUNTIFS(E11:E78,2,I11:I78,820)</f>
        <v>0</v>
      </c>
    </row>
    <row r="17" spans="1:17">
      <c r="A17" s="88"/>
      <c r="B17" s="9"/>
      <c r="C17" s="9"/>
      <c r="D17" s="11"/>
      <c r="E17" s="11"/>
      <c r="F17" s="82"/>
      <c r="G17" s="90"/>
      <c r="H17" s="83"/>
      <c r="I17" s="2"/>
      <c r="J17" s="80" t="str">
        <f>IF(I17="","",VLOOKUP(I17,$M$7:$N$61,2,FALSE))</f>
        <v/>
      </c>
      <c r="K17" s="84"/>
      <c r="L17" s="44"/>
      <c r="M17" s="2" t="s">
        <v>44</v>
      </c>
      <c r="N17" s="31" t="s">
        <v>42</v>
      </c>
      <c r="O17" s="39">
        <f>COUNTIF(I11:I70,"00840")</f>
        <v>0</v>
      </c>
      <c r="P17" s="26">
        <f>COUNTIFS(E11:E78,1,I11:I78,840)</f>
        <v>0</v>
      </c>
      <c r="Q17" s="72">
        <f>COUNTIFS(E11:E70,2,I11:I70,840)</f>
        <v>0</v>
      </c>
    </row>
    <row r="18" spans="1:17">
      <c r="A18" s="88"/>
      <c r="B18" s="9"/>
      <c r="C18" s="9"/>
      <c r="D18" s="11"/>
      <c r="E18" s="11"/>
      <c r="F18" s="11"/>
      <c r="G18" s="9"/>
      <c r="H18" s="91"/>
      <c r="I18" s="2"/>
      <c r="J18" s="80" t="str">
        <f t="shared" ref="J18:J52" si="0">IF(I18="","",VLOOKUP(I18,$M$13:$N$59,2,FALSE))</f>
        <v/>
      </c>
      <c r="K18" s="12"/>
      <c r="L18" s="44"/>
      <c r="M18" s="2" t="s">
        <v>45</v>
      </c>
      <c r="N18" s="31" t="s">
        <v>47</v>
      </c>
      <c r="O18" s="39">
        <f>COUNTIF(I11:I70,"03220")</f>
        <v>0</v>
      </c>
      <c r="P18" s="26">
        <f>COUNTIFS(E11:E70,1,I11:I70,3220)</f>
        <v>0</v>
      </c>
      <c r="Q18" s="72">
        <f>COUNTIFS(E11:E70,2,I11:I70,3220)</f>
        <v>0</v>
      </c>
    </row>
    <row r="19" spans="1:17">
      <c r="A19" s="88"/>
      <c r="B19" s="9"/>
      <c r="C19" s="9"/>
      <c r="D19" s="11"/>
      <c r="E19" s="11"/>
      <c r="F19" s="11"/>
      <c r="G19" s="9"/>
      <c r="H19" s="11"/>
      <c r="I19" s="2"/>
      <c r="J19" s="80" t="str">
        <f t="shared" si="0"/>
        <v/>
      </c>
      <c r="K19" s="62"/>
      <c r="L19" s="44"/>
      <c r="M19" s="2" t="s">
        <v>46</v>
      </c>
      <c r="N19" s="31" t="s">
        <v>48</v>
      </c>
      <c r="O19" s="39">
        <f>COUNTIF(I11:I70,"04220")</f>
        <v>0</v>
      </c>
      <c r="P19" s="26">
        <f>COUNTIFS(E11:E70,1,I11:I70,4220)</f>
        <v>0</v>
      </c>
      <c r="Q19" s="72">
        <f>COUNTIFS(E11:E70,2,I11:I70,4220)</f>
        <v>0</v>
      </c>
    </row>
    <row r="20" spans="1:17">
      <c r="A20" s="88"/>
      <c r="B20" s="9"/>
      <c r="C20" s="9"/>
      <c r="D20" s="11"/>
      <c r="E20" s="11"/>
      <c r="F20" s="11"/>
      <c r="G20" s="9"/>
      <c r="H20" s="11"/>
      <c r="I20" s="2"/>
      <c r="J20" s="80" t="str">
        <f t="shared" si="0"/>
        <v/>
      </c>
      <c r="K20" s="12"/>
      <c r="L20" s="44"/>
      <c r="M20" s="2" t="s">
        <v>52</v>
      </c>
      <c r="N20" s="31" t="s">
        <v>50</v>
      </c>
      <c r="O20" s="39">
        <f>COUNTIF(I11:I70,"07320")</f>
        <v>0</v>
      </c>
      <c r="P20" s="26">
        <f>COUNTIFS(E11:E70,1,I11:I70,7320)</f>
        <v>0</v>
      </c>
      <c r="Q20" s="72">
        <f>COUNTIFS(E11:E70,2,I11:I70,7320)</f>
        <v>0</v>
      </c>
    </row>
    <row r="21" spans="1:17">
      <c r="A21" s="88"/>
      <c r="B21" s="9"/>
      <c r="C21" s="9"/>
      <c r="D21" s="11"/>
      <c r="E21" s="11"/>
      <c r="F21" s="11"/>
      <c r="G21" s="9"/>
      <c r="H21" s="11"/>
      <c r="I21" s="2"/>
      <c r="J21" s="80" t="str">
        <f t="shared" si="0"/>
        <v/>
      </c>
      <c r="K21" s="12"/>
      <c r="L21" s="44"/>
      <c r="M21" s="2" t="s">
        <v>53</v>
      </c>
      <c r="N21" s="31" t="s">
        <v>51</v>
      </c>
      <c r="O21" s="39">
        <f>COUNTIF(I10:I78,"07340")</f>
        <v>0</v>
      </c>
      <c r="P21" s="26">
        <f>COUNTIFS(E10:E70,1,I10:I70,7340)</f>
        <v>0</v>
      </c>
      <c r="Q21" s="72">
        <f>COUNTIFS(E10:E70,2,I10:I70,7340)</f>
        <v>0</v>
      </c>
    </row>
    <row r="22" spans="1:17">
      <c r="A22" s="88"/>
      <c r="B22" s="9"/>
      <c r="C22" s="9"/>
      <c r="D22" s="11"/>
      <c r="E22" s="11"/>
      <c r="F22" s="11"/>
      <c r="G22" s="9"/>
      <c r="H22" s="64"/>
      <c r="I22" s="2"/>
      <c r="J22" s="80" t="str">
        <f t="shared" si="0"/>
        <v/>
      </c>
      <c r="K22" s="12"/>
      <c r="L22" s="44"/>
      <c r="M22" s="2" t="s">
        <v>55</v>
      </c>
      <c r="N22" s="93" t="s">
        <v>57</v>
      </c>
      <c r="O22" s="39">
        <f>COUNTIF(I10:I78,"08320")</f>
        <v>0</v>
      </c>
      <c r="P22" s="26">
        <f>COUNTIFS(E10:E70,1,I10:I70,8320)</f>
        <v>0</v>
      </c>
      <c r="Q22" s="72">
        <f>COUNTIFS(E10:E70,2,I10:I70,8320)</f>
        <v>0</v>
      </c>
    </row>
    <row r="23" spans="1:17">
      <c r="A23" s="88"/>
      <c r="B23" s="9"/>
      <c r="C23" s="9"/>
      <c r="D23" s="11"/>
      <c r="E23" s="11"/>
      <c r="F23" s="11"/>
      <c r="G23" s="9"/>
      <c r="H23" s="64"/>
      <c r="I23" s="2"/>
      <c r="J23" s="80" t="str">
        <f t="shared" si="0"/>
        <v/>
      </c>
      <c r="K23" s="12"/>
      <c r="L23" s="44"/>
      <c r="M23" s="2" t="s">
        <v>56</v>
      </c>
      <c r="N23" s="93" t="s">
        <v>54</v>
      </c>
      <c r="O23" s="39">
        <f>COUNTIF(I10:I78,"08520")</f>
        <v>0</v>
      </c>
      <c r="P23" s="26">
        <f>COUNTIFS(E10:E70,1,I10:I70,8520)</f>
        <v>0</v>
      </c>
      <c r="Q23" s="72">
        <f>COUNTIFS(E10:E70,2,I10:I70,8520)</f>
        <v>0</v>
      </c>
    </row>
    <row r="24" spans="1:17">
      <c r="A24" s="88"/>
      <c r="B24" s="9"/>
      <c r="C24" s="9"/>
      <c r="D24" s="11"/>
      <c r="E24" s="11"/>
      <c r="F24" s="11"/>
      <c r="G24" s="9"/>
      <c r="H24" s="11"/>
      <c r="I24" s="2"/>
      <c r="J24" s="80" t="str">
        <f t="shared" si="0"/>
        <v/>
      </c>
      <c r="K24" s="12"/>
      <c r="L24" s="44"/>
      <c r="M24" s="2" t="s">
        <v>60</v>
      </c>
      <c r="N24" s="32" t="s">
        <v>59</v>
      </c>
      <c r="O24" s="39">
        <f>COUNTIF(I10:I70,"08230")</f>
        <v>0</v>
      </c>
      <c r="P24" s="26">
        <f>COUNTIFS(E10:E70,1,I10:I70,8230)</f>
        <v>0</v>
      </c>
      <c r="Q24" s="72">
        <f>COUNTIFS(E10:E70,2,I10:I70,8230)</f>
        <v>0</v>
      </c>
    </row>
    <row r="25" spans="1:17">
      <c r="A25" s="88"/>
      <c r="B25" s="9"/>
      <c r="C25" s="9"/>
      <c r="D25" s="11"/>
      <c r="E25" s="11"/>
      <c r="F25" s="11"/>
      <c r="G25" s="9"/>
      <c r="H25" s="11"/>
      <c r="I25" s="2"/>
      <c r="J25" s="80" t="str">
        <f t="shared" si="0"/>
        <v/>
      </c>
      <c r="K25" s="12"/>
      <c r="L25" s="44"/>
      <c r="M25" s="2" t="s">
        <v>61</v>
      </c>
      <c r="N25" s="32" t="s">
        <v>58</v>
      </c>
      <c r="O25" s="39">
        <f>COUNTIF(I10:I78,"08430")</f>
        <v>0</v>
      </c>
      <c r="P25" s="26">
        <f>COUNTIFS(E10:E70,1,I10:I70,8430)</f>
        <v>0</v>
      </c>
      <c r="Q25" s="72">
        <f>COUNTIFS(E10:E70,2,I10:I70,8430)</f>
        <v>0</v>
      </c>
    </row>
    <row r="26" spans="1:17">
      <c r="A26" s="88"/>
      <c r="B26" s="9"/>
      <c r="C26" s="9"/>
      <c r="D26" s="11"/>
      <c r="E26" s="11"/>
      <c r="F26" s="11"/>
      <c r="G26" s="9"/>
      <c r="H26" s="11"/>
      <c r="I26" s="60"/>
      <c r="J26" s="80" t="str">
        <f t="shared" si="0"/>
        <v/>
      </c>
      <c r="K26" s="12"/>
      <c r="L26" s="44"/>
      <c r="M26" s="2" t="s">
        <v>64</v>
      </c>
      <c r="N26" s="32" t="s">
        <v>62</v>
      </c>
      <c r="O26" s="39">
        <f>COUNTIF(I10:I70,"08730")</f>
        <v>0</v>
      </c>
      <c r="P26" s="26">
        <f>COUNTIFS(E10:E70,1,I10:I70,8730)</f>
        <v>0</v>
      </c>
      <c r="Q26" s="72">
        <f>COUNTIFS(E10:E70,2,I10:I70,8730)</f>
        <v>0</v>
      </c>
    </row>
    <row r="27" spans="1:17">
      <c r="A27" s="88"/>
      <c r="B27" s="9"/>
      <c r="C27" s="9"/>
      <c r="D27" s="11"/>
      <c r="E27" s="11"/>
      <c r="F27" s="11"/>
      <c r="G27" s="9"/>
      <c r="H27" s="11"/>
      <c r="I27" s="2"/>
      <c r="J27" s="80" t="str">
        <f t="shared" si="0"/>
        <v/>
      </c>
      <c r="K27" s="12"/>
      <c r="L27" s="44"/>
      <c r="M27" s="2" t="s">
        <v>65</v>
      </c>
      <c r="N27" s="32" t="s">
        <v>63</v>
      </c>
      <c r="O27" s="39">
        <f>COUNTIF(I10:I70,"08830")</f>
        <v>0</v>
      </c>
      <c r="P27" s="26">
        <f>COUNTIFS(E10:E70,1,I10:I70,8830)</f>
        <v>0</v>
      </c>
      <c r="Q27" s="72">
        <f>COUNTIFS(E10:E70,2,I10:I70,8830)</f>
        <v>0</v>
      </c>
    </row>
    <row r="28" spans="1:17">
      <c r="A28" s="88"/>
      <c r="B28" s="9"/>
      <c r="C28" s="9"/>
      <c r="D28" s="11"/>
      <c r="E28" s="11"/>
      <c r="F28" s="11"/>
      <c r="G28" s="9"/>
      <c r="H28" s="11"/>
      <c r="I28" s="2"/>
      <c r="J28" s="80" t="str">
        <f t="shared" si="0"/>
        <v/>
      </c>
      <c r="K28" s="12"/>
      <c r="L28" s="44"/>
      <c r="M28" s="60" t="s">
        <v>28</v>
      </c>
      <c r="N28" s="31" t="s">
        <v>29</v>
      </c>
      <c r="O28" s="39">
        <f>COUNTIF(I10:I78,"00550")</f>
        <v>0</v>
      </c>
      <c r="P28" s="26">
        <f>COUNTIFS(E10:E70,1,I10:I70,550)</f>
        <v>0</v>
      </c>
      <c r="Q28" s="72">
        <f>COUNTIFS(E10:E70,2,I10:I70,550)</f>
        <v>0</v>
      </c>
    </row>
    <row r="29" spans="1:17">
      <c r="A29" s="88"/>
      <c r="B29" s="9"/>
      <c r="C29" s="9"/>
      <c r="D29" s="11"/>
      <c r="E29" s="11"/>
      <c r="F29" s="11"/>
      <c r="G29" s="9"/>
      <c r="H29" s="11"/>
      <c r="I29" s="2"/>
      <c r="J29" s="80" t="str">
        <f t="shared" si="0"/>
        <v/>
      </c>
      <c r="K29" s="12"/>
      <c r="L29" s="44"/>
      <c r="M29" s="65"/>
      <c r="N29" s="34"/>
      <c r="O29" s="50"/>
      <c r="P29" s="66"/>
      <c r="Q29" s="66"/>
    </row>
    <row r="30" spans="1:17">
      <c r="A30" s="88"/>
      <c r="B30" s="9"/>
      <c r="C30" s="9"/>
      <c r="D30" s="11"/>
      <c r="E30" s="11"/>
      <c r="F30" s="11"/>
      <c r="G30" s="9"/>
      <c r="H30" s="11"/>
      <c r="I30" s="2"/>
      <c r="J30" s="80" t="str">
        <f t="shared" si="0"/>
        <v/>
      </c>
      <c r="K30" s="12"/>
      <c r="L30" s="44"/>
      <c r="O30" s="61">
        <f>SUM(O13:O28)</f>
        <v>0</v>
      </c>
      <c r="P30" s="61">
        <f>SUM(P13:P28)</f>
        <v>0</v>
      </c>
      <c r="Q30" s="61">
        <f>SUM(Q13:Q28)</f>
        <v>0</v>
      </c>
    </row>
    <row r="31" spans="1:17">
      <c r="A31" s="88"/>
      <c r="B31" s="9"/>
      <c r="C31" s="9"/>
      <c r="D31" s="11"/>
      <c r="E31" s="11"/>
      <c r="F31" s="11"/>
      <c r="G31" s="9"/>
      <c r="H31" s="11"/>
      <c r="I31" s="2"/>
      <c r="J31" s="80" t="str">
        <f t="shared" si="0"/>
        <v/>
      </c>
      <c r="K31" s="12"/>
      <c r="L31" s="44"/>
      <c r="M31" s="29"/>
      <c r="N31" s="49"/>
    </row>
    <row r="32" spans="1:17">
      <c r="A32" s="88"/>
      <c r="B32" s="73"/>
      <c r="C32" s="73"/>
      <c r="D32" s="11"/>
      <c r="E32" s="11"/>
      <c r="F32" s="74"/>
      <c r="G32" s="73"/>
      <c r="H32" s="74"/>
      <c r="I32" s="2"/>
      <c r="J32" s="95" t="str">
        <f t="shared" si="0"/>
        <v/>
      </c>
      <c r="K32" s="76"/>
      <c r="L32" s="44"/>
      <c r="M32" s="29"/>
      <c r="N32" s="34"/>
      <c r="O32" s="87"/>
      <c r="P32" s="40"/>
    </row>
    <row r="33" spans="1:17">
      <c r="A33" s="88"/>
      <c r="B33" s="9"/>
      <c r="C33" s="9"/>
      <c r="D33" s="11"/>
      <c r="E33" s="11"/>
      <c r="F33" s="11"/>
      <c r="G33" s="9"/>
      <c r="H33" s="64"/>
      <c r="I33" s="2"/>
      <c r="J33" s="80" t="str">
        <f t="shared" si="0"/>
        <v/>
      </c>
      <c r="K33" s="12"/>
      <c r="L33" s="44"/>
      <c r="M33" s="29"/>
      <c r="N33" s="34"/>
      <c r="O33" s="89"/>
      <c r="P33" s="40"/>
    </row>
    <row r="34" spans="1:17">
      <c r="A34" s="88"/>
      <c r="B34" s="9"/>
      <c r="C34" s="9"/>
      <c r="D34" s="11"/>
      <c r="E34" s="11"/>
      <c r="F34" s="11"/>
      <c r="G34" s="9"/>
      <c r="H34" s="64"/>
      <c r="I34" s="2"/>
      <c r="J34" s="80" t="str">
        <f t="shared" si="0"/>
        <v/>
      </c>
      <c r="K34" s="12"/>
      <c r="L34" s="44"/>
      <c r="M34" s="29"/>
      <c r="N34" s="34"/>
      <c r="O34" s="87"/>
      <c r="P34" s="40"/>
    </row>
    <row r="35" spans="1:17">
      <c r="A35" s="88"/>
      <c r="B35" s="9"/>
      <c r="C35" s="9"/>
      <c r="D35" s="11"/>
      <c r="E35" s="11"/>
      <c r="F35" s="11"/>
      <c r="G35" s="9"/>
      <c r="H35" s="64"/>
      <c r="I35" s="2"/>
      <c r="J35" s="80" t="str">
        <f t="shared" si="0"/>
        <v/>
      </c>
      <c r="K35" s="12"/>
      <c r="L35" s="44"/>
      <c r="M35" s="29"/>
      <c r="N35" s="34"/>
      <c r="O35" s="41"/>
      <c r="P35" s="42"/>
      <c r="Q35" s="42"/>
    </row>
    <row r="36" spans="1:17">
      <c r="A36" s="88"/>
      <c r="B36" s="9"/>
      <c r="C36" s="9"/>
      <c r="D36" s="11"/>
      <c r="E36" s="11"/>
      <c r="F36" s="11"/>
      <c r="G36" s="9"/>
      <c r="H36" s="77"/>
      <c r="I36" s="2"/>
      <c r="J36" s="80" t="str">
        <f t="shared" si="0"/>
        <v/>
      </c>
      <c r="K36" s="12"/>
      <c r="L36" s="44"/>
      <c r="M36" s="13"/>
      <c r="N36" s="13"/>
    </row>
    <row r="37" spans="1:17">
      <c r="A37" s="88"/>
      <c r="B37" s="9"/>
      <c r="C37" s="9"/>
      <c r="D37" s="11"/>
      <c r="E37" s="11"/>
      <c r="F37" s="11"/>
      <c r="G37" s="9"/>
      <c r="H37" s="11"/>
      <c r="I37" s="2"/>
      <c r="J37" s="80" t="str">
        <f t="shared" si="0"/>
        <v/>
      </c>
      <c r="K37" s="12"/>
      <c r="L37" s="44"/>
      <c r="M37" s="13"/>
      <c r="N37" s="13"/>
    </row>
    <row r="38" spans="1:17">
      <c r="A38" s="88"/>
      <c r="B38" s="63"/>
      <c r="C38" s="63"/>
      <c r="D38" s="11"/>
      <c r="E38" s="11"/>
      <c r="F38" s="11"/>
      <c r="G38" s="9"/>
      <c r="H38" s="64"/>
      <c r="I38" s="2"/>
      <c r="J38" s="80" t="str">
        <f t="shared" si="0"/>
        <v/>
      </c>
      <c r="K38" s="12"/>
      <c r="L38" s="44"/>
      <c r="M38" s="13"/>
      <c r="N38" s="13"/>
    </row>
    <row r="39" spans="1:17">
      <c r="A39" s="88"/>
      <c r="B39" s="63"/>
      <c r="C39" s="63"/>
      <c r="D39" s="11"/>
      <c r="E39" s="11"/>
      <c r="F39" s="11"/>
      <c r="G39" s="9"/>
      <c r="H39" s="64"/>
      <c r="I39" s="2"/>
      <c r="J39" s="80" t="str">
        <f t="shared" si="0"/>
        <v/>
      </c>
      <c r="K39" s="12"/>
      <c r="L39" s="44"/>
      <c r="M39" s="13"/>
      <c r="N39" s="13"/>
    </row>
    <row r="40" spans="1:17">
      <c r="A40" s="88"/>
      <c r="B40" s="63"/>
      <c r="C40" s="63"/>
      <c r="D40" s="11"/>
      <c r="E40" s="11"/>
      <c r="F40" s="11"/>
      <c r="G40" s="9"/>
      <c r="H40" s="11"/>
      <c r="I40" s="2"/>
      <c r="J40" s="80" t="str">
        <f t="shared" si="0"/>
        <v/>
      </c>
      <c r="K40" s="12"/>
      <c r="L40" s="44"/>
      <c r="M40" s="13"/>
      <c r="N40" s="13"/>
    </row>
    <row r="41" spans="1:17">
      <c r="A41" s="88"/>
      <c r="B41" s="9"/>
      <c r="C41" s="9"/>
      <c r="D41" s="11"/>
      <c r="E41" s="11"/>
      <c r="F41" s="11"/>
      <c r="G41" s="9"/>
      <c r="H41" s="85"/>
      <c r="I41" s="2"/>
      <c r="J41" s="80" t="str">
        <f t="shared" si="0"/>
        <v/>
      </c>
      <c r="K41" s="12"/>
      <c r="L41" s="44"/>
      <c r="M41" s="13"/>
      <c r="N41" s="13"/>
    </row>
    <row r="42" spans="1:17">
      <c r="A42" s="88"/>
      <c r="B42" s="9"/>
      <c r="C42" s="9"/>
      <c r="D42" s="11"/>
      <c r="E42" s="11"/>
      <c r="F42" s="9"/>
      <c r="G42" s="9"/>
      <c r="H42" s="54"/>
      <c r="I42" s="60"/>
      <c r="J42" s="80" t="str">
        <f t="shared" si="0"/>
        <v/>
      </c>
      <c r="K42" s="78"/>
      <c r="L42" s="44"/>
      <c r="M42" s="14"/>
      <c r="N42" s="14"/>
    </row>
    <row r="43" spans="1:17">
      <c r="A43" s="88"/>
      <c r="B43" s="9"/>
      <c r="C43" s="9"/>
      <c r="D43" s="11"/>
      <c r="E43" s="11"/>
      <c r="F43" s="11"/>
      <c r="G43" s="9"/>
      <c r="H43" s="11"/>
      <c r="I43" s="2"/>
      <c r="J43" s="80" t="str">
        <f t="shared" si="0"/>
        <v/>
      </c>
      <c r="K43" s="12"/>
      <c r="L43" s="44"/>
      <c r="M43" s="13"/>
      <c r="N43" s="13"/>
    </row>
    <row r="44" spans="1:17">
      <c r="A44" s="88"/>
      <c r="B44" s="9"/>
      <c r="C44" s="9"/>
      <c r="D44" s="11"/>
      <c r="E44" s="11"/>
      <c r="F44" s="11"/>
      <c r="G44" s="9"/>
      <c r="H44" s="11"/>
      <c r="I44" s="2"/>
      <c r="J44" s="80" t="str">
        <f t="shared" si="0"/>
        <v/>
      </c>
      <c r="K44" s="12"/>
      <c r="L44" s="44"/>
      <c r="M44" s="13"/>
      <c r="N44" s="13"/>
    </row>
    <row r="45" spans="1:17">
      <c r="A45" s="88"/>
      <c r="B45" s="9"/>
      <c r="C45" s="9"/>
      <c r="D45" s="11"/>
      <c r="E45" s="11"/>
      <c r="F45" s="11"/>
      <c r="G45" s="9"/>
      <c r="H45" s="11"/>
      <c r="I45" s="2"/>
      <c r="J45" s="80" t="str">
        <f t="shared" si="0"/>
        <v/>
      </c>
      <c r="K45" s="12"/>
      <c r="L45" s="44"/>
      <c r="M45" s="13"/>
      <c r="N45" s="13"/>
    </row>
    <row r="46" spans="1:17">
      <c r="A46" s="88"/>
      <c r="B46" s="9"/>
      <c r="C46" s="9"/>
      <c r="D46" s="11"/>
      <c r="E46" s="11"/>
      <c r="F46" s="11"/>
      <c r="G46" s="9"/>
      <c r="H46" s="11"/>
      <c r="I46" s="2"/>
      <c r="J46" s="80" t="str">
        <f t="shared" si="0"/>
        <v/>
      </c>
      <c r="K46" s="12"/>
      <c r="L46" s="44"/>
      <c r="M46" s="13"/>
      <c r="N46" s="13"/>
    </row>
    <row r="47" spans="1:17">
      <c r="A47" s="88"/>
      <c r="B47" s="9"/>
      <c r="C47" s="9"/>
      <c r="D47" s="11"/>
      <c r="E47" s="11"/>
      <c r="F47" s="11"/>
      <c r="G47" s="9"/>
      <c r="H47" s="11"/>
      <c r="I47" s="2"/>
      <c r="J47" s="80" t="str">
        <f t="shared" si="0"/>
        <v/>
      </c>
      <c r="K47" s="12"/>
      <c r="L47" s="44"/>
      <c r="M47" s="14"/>
      <c r="N47" s="14"/>
    </row>
    <row r="48" spans="1:17">
      <c r="A48" s="88"/>
      <c r="B48" s="9"/>
      <c r="C48" s="9"/>
      <c r="D48" s="11"/>
      <c r="E48" s="11"/>
      <c r="F48" s="11"/>
      <c r="G48" s="9"/>
      <c r="H48" s="11"/>
      <c r="I48" s="2"/>
      <c r="J48" s="80" t="str">
        <f t="shared" si="0"/>
        <v/>
      </c>
      <c r="K48" s="12"/>
      <c r="L48" s="44"/>
      <c r="M48" s="13"/>
      <c r="N48" s="15"/>
    </row>
    <row r="49" spans="1:14">
      <c r="A49" s="88"/>
      <c r="B49" s="9"/>
      <c r="C49" s="9"/>
      <c r="D49" s="11"/>
      <c r="E49" s="11"/>
      <c r="F49" s="11"/>
      <c r="G49" s="9"/>
      <c r="H49" s="85"/>
      <c r="I49" s="2"/>
      <c r="J49" s="80" t="str">
        <f t="shared" si="0"/>
        <v/>
      </c>
      <c r="K49" s="12"/>
      <c r="L49" s="44"/>
      <c r="M49" s="13"/>
      <c r="N49" s="15"/>
    </row>
    <row r="50" spans="1:14">
      <c r="A50" s="88"/>
      <c r="B50" s="9"/>
      <c r="C50" s="9"/>
      <c r="D50" s="11"/>
      <c r="E50" s="11"/>
      <c r="F50" s="11"/>
      <c r="G50" s="9"/>
      <c r="H50" s="85"/>
      <c r="I50" s="2"/>
      <c r="J50" s="80" t="str">
        <f t="shared" si="0"/>
        <v/>
      </c>
      <c r="K50" s="12"/>
      <c r="L50" s="44"/>
      <c r="M50" s="13"/>
      <c r="N50" s="15"/>
    </row>
    <row r="51" spans="1:14">
      <c r="A51" s="88"/>
      <c r="B51" s="9"/>
      <c r="C51" s="9"/>
      <c r="D51" s="11"/>
      <c r="E51" s="11"/>
      <c r="F51" s="11"/>
      <c r="G51" s="9"/>
      <c r="H51" s="85"/>
      <c r="I51" s="2"/>
      <c r="J51" s="80" t="str">
        <f t="shared" si="0"/>
        <v/>
      </c>
      <c r="K51" s="12"/>
      <c r="L51" s="44"/>
      <c r="M51" s="13"/>
      <c r="N51" s="13"/>
    </row>
    <row r="52" spans="1:14">
      <c r="A52" s="88"/>
      <c r="B52" s="51"/>
      <c r="C52" s="51"/>
      <c r="D52" s="11"/>
      <c r="E52" s="11"/>
      <c r="F52" s="11"/>
      <c r="G52" s="9"/>
      <c r="H52" s="86"/>
      <c r="I52" s="2"/>
      <c r="J52" s="94" t="str">
        <f t="shared" si="0"/>
        <v/>
      </c>
      <c r="K52" s="79"/>
      <c r="L52" s="44"/>
      <c r="M52" s="13"/>
      <c r="N52" s="13"/>
    </row>
    <row r="53" spans="1:14">
      <c r="A53" s="88"/>
      <c r="B53" s="73"/>
      <c r="C53" s="73"/>
      <c r="D53" s="11"/>
      <c r="E53" s="11"/>
      <c r="F53" s="74"/>
      <c r="G53" s="73"/>
      <c r="H53" s="74"/>
      <c r="I53" s="75"/>
      <c r="J53" s="95" t="str">
        <f t="shared" ref="J53:J70" si="1">IF(I53="","",VLOOKUP(I53,$M$13:$N$59,2,FALSE))</f>
        <v/>
      </c>
      <c r="K53" s="76"/>
      <c r="L53" s="44"/>
      <c r="M53" s="13"/>
      <c r="N53" s="13"/>
    </row>
    <row r="54" spans="1:14">
      <c r="A54" s="88"/>
      <c r="B54" s="73"/>
      <c r="C54" s="73"/>
      <c r="D54" s="11"/>
      <c r="E54" s="11"/>
      <c r="F54" s="74"/>
      <c r="G54" s="73"/>
      <c r="H54" s="74"/>
      <c r="I54" s="75"/>
      <c r="J54" s="95" t="str">
        <f t="shared" si="1"/>
        <v/>
      </c>
      <c r="K54" s="76"/>
      <c r="L54" s="44"/>
      <c r="M54" s="13"/>
      <c r="N54" s="13"/>
    </row>
    <row r="55" spans="1:14">
      <c r="A55" s="88"/>
      <c r="B55" s="73"/>
      <c r="C55" s="73"/>
      <c r="D55" s="11"/>
      <c r="E55" s="11"/>
      <c r="F55" s="74"/>
      <c r="G55" s="73"/>
      <c r="H55" s="74"/>
      <c r="I55" s="75"/>
      <c r="J55" s="95" t="str">
        <f t="shared" si="1"/>
        <v/>
      </c>
      <c r="K55" s="76"/>
      <c r="L55" s="44"/>
      <c r="M55" s="13"/>
      <c r="N55" s="13"/>
    </row>
    <row r="56" spans="1:14">
      <c r="A56" s="88"/>
      <c r="B56" s="73"/>
      <c r="C56" s="73"/>
      <c r="D56" s="11"/>
      <c r="E56" s="11"/>
      <c r="F56" s="74"/>
      <c r="G56" s="73"/>
      <c r="H56" s="74"/>
      <c r="I56" s="75"/>
      <c r="J56" s="95" t="str">
        <f t="shared" si="1"/>
        <v/>
      </c>
      <c r="K56" s="76"/>
      <c r="L56" s="44"/>
      <c r="M56" s="13"/>
      <c r="N56" s="13"/>
    </row>
    <row r="57" spans="1:14">
      <c r="A57" s="88"/>
      <c r="B57" s="73"/>
      <c r="C57" s="73"/>
      <c r="D57" s="11"/>
      <c r="E57" s="11"/>
      <c r="F57" s="74"/>
      <c r="G57" s="73"/>
      <c r="H57" s="74"/>
      <c r="I57" s="75"/>
      <c r="J57" s="95" t="str">
        <f t="shared" si="1"/>
        <v/>
      </c>
      <c r="K57" s="76"/>
      <c r="L57" s="44"/>
      <c r="M57" s="13"/>
      <c r="N57" s="13"/>
    </row>
    <row r="58" spans="1:14">
      <c r="A58" s="88"/>
      <c r="B58" s="73"/>
      <c r="C58" s="73"/>
      <c r="D58" s="11"/>
      <c r="E58" s="11"/>
      <c r="F58" s="74"/>
      <c r="G58" s="73"/>
      <c r="H58" s="74"/>
      <c r="I58" s="75"/>
      <c r="J58" s="95" t="str">
        <f t="shared" si="1"/>
        <v/>
      </c>
      <c r="K58" s="76"/>
      <c r="L58" s="44"/>
      <c r="M58" s="13"/>
      <c r="N58" s="13"/>
    </row>
    <row r="59" spans="1:14">
      <c r="A59" s="88"/>
      <c r="B59" s="73"/>
      <c r="C59" s="73"/>
      <c r="D59" s="11"/>
      <c r="E59" s="11"/>
      <c r="F59" s="74"/>
      <c r="G59" s="73"/>
      <c r="H59" s="74"/>
      <c r="I59" s="75"/>
      <c r="J59" s="95" t="str">
        <f t="shared" si="1"/>
        <v/>
      </c>
      <c r="K59" s="76"/>
      <c r="L59" s="29"/>
      <c r="M59" s="13"/>
      <c r="N59" s="15"/>
    </row>
    <row r="60" spans="1:14">
      <c r="A60" s="88"/>
      <c r="B60" s="73"/>
      <c r="C60" s="73"/>
      <c r="D60" s="11"/>
      <c r="E60" s="11"/>
      <c r="F60" s="74"/>
      <c r="G60" s="73"/>
      <c r="H60" s="74"/>
      <c r="I60" s="75"/>
      <c r="J60" s="95" t="str">
        <f t="shared" si="1"/>
        <v/>
      </c>
      <c r="K60" s="76"/>
      <c r="L60" s="29"/>
      <c r="M60" s="13"/>
      <c r="N60" s="16"/>
    </row>
    <row r="61" spans="1:14">
      <c r="A61" s="88"/>
      <c r="B61" s="73"/>
      <c r="C61" s="73"/>
      <c r="D61" s="11"/>
      <c r="E61" s="11"/>
      <c r="F61" s="74"/>
      <c r="G61" s="73"/>
      <c r="H61" s="74"/>
      <c r="I61" s="75"/>
      <c r="J61" s="95" t="str">
        <f t="shared" si="1"/>
        <v/>
      </c>
      <c r="K61" s="76"/>
      <c r="L61" s="29"/>
      <c r="M61" s="13"/>
      <c r="N61" s="15"/>
    </row>
    <row r="62" spans="1:14">
      <c r="A62" s="88"/>
      <c r="B62" s="73"/>
      <c r="C62" s="73"/>
      <c r="D62" s="11"/>
      <c r="E62" s="11"/>
      <c r="F62" s="74"/>
      <c r="G62" s="73"/>
      <c r="H62" s="74"/>
      <c r="I62" s="75"/>
      <c r="J62" s="95" t="str">
        <f t="shared" si="1"/>
        <v/>
      </c>
      <c r="K62" s="76"/>
      <c r="L62" s="29"/>
      <c r="M62" s="13"/>
      <c r="N62" s="17"/>
    </row>
    <row r="63" spans="1:14">
      <c r="A63" s="88"/>
      <c r="B63" s="73"/>
      <c r="C63" s="73"/>
      <c r="D63" s="11"/>
      <c r="E63" s="11"/>
      <c r="F63" s="74"/>
      <c r="G63" s="73"/>
      <c r="H63" s="74"/>
      <c r="I63" s="75"/>
      <c r="J63" s="95" t="str">
        <f t="shared" si="1"/>
        <v/>
      </c>
      <c r="K63" s="76"/>
    </row>
    <row r="64" spans="1:14">
      <c r="A64" s="88"/>
      <c r="B64" s="73"/>
      <c r="C64" s="73"/>
      <c r="D64" s="11"/>
      <c r="E64" s="11"/>
      <c r="F64" s="74"/>
      <c r="G64" s="73"/>
      <c r="H64" s="74"/>
      <c r="I64" s="75"/>
      <c r="J64" s="95" t="str">
        <f t="shared" si="1"/>
        <v/>
      </c>
      <c r="K64" s="76"/>
    </row>
    <row r="65" spans="1:11">
      <c r="A65" s="88"/>
      <c r="B65" s="73"/>
      <c r="C65" s="73"/>
      <c r="D65" s="11"/>
      <c r="E65" s="11"/>
      <c r="F65" s="74"/>
      <c r="G65" s="73"/>
      <c r="H65" s="74"/>
      <c r="I65" s="75"/>
      <c r="J65" s="95" t="str">
        <f t="shared" si="1"/>
        <v/>
      </c>
      <c r="K65" s="76"/>
    </row>
    <row r="66" spans="1:11">
      <c r="A66" s="88"/>
      <c r="B66" s="73"/>
      <c r="C66" s="73"/>
      <c r="D66" s="11"/>
      <c r="E66" s="11"/>
      <c r="F66" s="74"/>
      <c r="G66" s="73"/>
      <c r="H66" s="74"/>
      <c r="I66" s="75"/>
      <c r="J66" s="95" t="str">
        <f t="shared" si="1"/>
        <v/>
      </c>
      <c r="K66" s="76"/>
    </row>
    <row r="67" spans="1:11">
      <c r="A67" s="88"/>
      <c r="B67" s="73"/>
      <c r="C67" s="73"/>
      <c r="D67" s="11"/>
      <c r="E67" s="11"/>
      <c r="F67" s="74"/>
      <c r="G67" s="73"/>
      <c r="H67" s="74"/>
      <c r="I67" s="75"/>
      <c r="J67" s="95" t="str">
        <f t="shared" si="1"/>
        <v/>
      </c>
      <c r="K67" s="76"/>
    </row>
    <row r="68" spans="1:11">
      <c r="A68" s="88"/>
      <c r="B68" s="73"/>
      <c r="C68" s="73"/>
      <c r="D68" s="11"/>
      <c r="E68" s="11"/>
      <c r="F68" s="74"/>
      <c r="G68" s="73"/>
      <c r="H68" s="74"/>
      <c r="I68" s="75"/>
      <c r="J68" s="95" t="str">
        <f t="shared" si="1"/>
        <v/>
      </c>
      <c r="K68" s="76"/>
    </row>
    <row r="69" spans="1:11">
      <c r="A69" s="88"/>
      <c r="B69" s="73"/>
      <c r="C69" s="73"/>
      <c r="D69" s="11"/>
      <c r="E69" s="11"/>
      <c r="F69" s="74"/>
      <c r="G69" s="73"/>
      <c r="H69" s="74"/>
      <c r="I69" s="75"/>
      <c r="J69" s="95" t="str">
        <f t="shared" si="1"/>
        <v/>
      </c>
      <c r="K69" s="76"/>
    </row>
    <row r="70" spans="1:11">
      <c r="A70" s="88"/>
      <c r="B70" s="73"/>
      <c r="C70" s="73"/>
      <c r="D70" s="11"/>
      <c r="E70" s="11"/>
      <c r="F70" s="74"/>
      <c r="G70" s="73"/>
      <c r="H70" s="74"/>
      <c r="I70" s="75"/>
      <c r="J70" s="95" t="str">
        <f t="shared" si="1"/>
        <v/>
      </c>
      <c r="K70" s="76"/>
    </row>
  </sheetData>
  <mergeCells count="1">
    <mergeCell ref="B4:F4"/>
  </mergeCells>
  <phoneticPr fontId="2"/>
  <dataValidations xWindow="535" yWindow="478" count="13">
    <dataValidation allowBlank="1" showInputMessage="1" showErrorMessage="1" sqref="J2:K2 L51:L58 D8:G8 O32:Q35 F9 J8:J9 I8 A4:F7 I10:K10 H4:H10 L3:L10 D10:G10 I4:J4 K5 A1 C1:K1 M31:N62 I6:J7 J3 M1:Q4 O30:Q30 G5:G7 A2:H3 A8:C10 J11:J13 M11:Q29 R1:AL35 J33:J51 J15:J31 H36 I11:I52"/>
    <dataValidation allowBlank="1" showInputMessage="1" showErrorMessage="1" prompt="半角カナで入力してください。" sqref="C15:C31 C11:C13 C33:C51"/>
    <dataValidation allowBlank="1" showInputMessage="1" showErrorMessage="1" prompt="全角で苗字と名の間は１字開ける、生徒・学生は（）で新学年を入力してください。" sqref="B11:B13 B15 B18:B31 B33:B51"/>
    <dataValidation operator="equal" allowBlank="1" showInputMessage="1" showErrorMessage="1" errorTitle="学校の入力エラー" error="学校コードは６桁です。" promptTitle="所属名" prompt="所属名を入力してください。_x000a_学校の場合は下記の書式でお願いします。_x000a_○○中_x000a_○○高_x000a_○○大" sqref="G33:G52 G11:G31"/>
    <dataValidation type="textLength" allowBlank="1" showInputMessage="1" showErrorMessage="1" errorTitle="記録の入力エラー" error="トラック種目の記録は７桁、_x000a_フィールド種目の記録は５桁です。" sqref="K11:K13 K15:K18 K20:K31 K33:K51">
      <formula1>5</formula1>
      <formula2>7</formula2>
    </dataValidation>
    <dataValidation type="textLength" operator="equal" allowBlank="1" showInputMessage="1" showErrorMessage="1" errorTitle="県の入力エラー" error="県コードは「３３」です。" sqref="F11:F31 F33:F52">
      <formula1>2</formula1>
    </dataValidation>
    <dataValidation type="textLength" allowBlank="1" showInputMessage="1" showErrorMessage="1" errorTitle="記録の入力エラー" error="トラック種目の記録は７桁、 フィールド種目の記録は５桁です。" sqref="K14 K19 K52">
      <formula1>5</formula1>
      <formula2>7</formula2>
    </dataValidation>
    <dataValidation type="textLength" operator="equal" allowBlank="1" showInputMessage="1" showErrorMessage="1" errorTitle="性別の入力エラー" error="性別は１桁です。" sqref="D11:E70">
      <formula1>1</formula1>
    </dataValidation>
    <dataValidation type="custom" allowBlank="1" showInputMessage="1" showErrorMessage="1" prompt=" - " sqref="K32 K53:K70">
      <formula1>AND(GTE(LEN(K32),MIN((5),(7))),LTE(LEN(K32),MAX((5),(7))))</formula1>
    </dataValidation>
    <dataValidation type="custom" allowBlank="1" showInputMessage="1" showErrorMessage="1" prompt=" - " sqref="F32 F53:F70">
      <formula1>EQ(LEN(F32),(2))</formula1>
    </dataValidation>
    <dataValidation allowBlank="1" showInputMessage="1" showErrorMessage="1" prompt="全角で、学年は半角入力" sqref="B16:B17"/>
    <dataValidation allowBlank="1" showInputMessage="1" showErrorMessage="1" prompt="リレー出場者は○と複数チームはＡＢ表記。リレー一覧のシートにもご記入下さい。" sqref="L11:L50"/>
    <dataValidation type="textLength" allowBlank="1" showInputMessage="1" showErrorMessage="1" errorTitle="ＤＢコードの入力エラー" error="ＤＢコードは９桁です。_x000a_(枝番なしは６桁)" prompt="入力不要です" sqref="A11:A70">
      <formula1>6</formula1>
      <formula2>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landscape" horizontalDpi="4294967293" r:id="rId1"/>
  <headerFooter scaleWithDoc="0" alignWithMargins="0">
    <oddFooter>&amp;C&amp;P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個人一覧</vt:lpstr>
      <vt:lpstr>個人一覧!Print_Area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申込み一覧表ver.4（種目コード５桁版）</dc:title>
  <dc:creator>nogami</dc:creator>
  <cp:lastModifiedBy>安藤 成顕</cp:lastModifiedBy>
  <cp:lastPrinted>2021-03-28T22:39:53Z</cp:lastPrinted>
  <dcterms:created xsi:type="dcterms:W3CDTF">1999-05-20T01:54:59Z</dcterms:created>
  <dcterms:modified xsi:type="dcterms:W3CDTF">2021-03-28T22:40:29Z</dcterms:modified>
</cp:coreProperties>
</file>